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ning\HMIS\CoC Scorecards\"/>
    </mc:Choice>
  </mc:AlternateContent>
  <xr:revisionPtr revIDLastSave="0" documentId="13_ncr:1_{A232BE42-1629-4A2A-904B-9B7742BA9FE3}" xr6:coauthVersionLast="45" xr6:coauthVersionMax="45" xr10:uidLastSave="{00000000-0000-0000-0000-000000000000}"/>
  <workbookProtection workbookAlgorithmName="SHA-512" workbookHashValue="Wal5MXUtl1vRXRYHv+hNDM9LkRydszfrxIWY5BT62F0WHZrvW9updSsgZf3UToIc9b6A960efNFJiCM4FyHd2w==" workbookSaltValue="TIUEgxwyKQp2vXWp/KnNHw==" workbookSpinCount="100000" lockStructure="1"/>
  <bookViews>
    <workbookView xWindow="57492" yWindow="-108" windowWidth="29016" windowHeight="16416" firstSheet="1" activeTab="4" xr2:uid="{6783C11A-0347-45A3-A9D0-027929013631}"/>
  </bookViews>
  <sheets>
    <sheet name="Thresholds" sheetId="23" state="hidden" r:id="rId1"/>
    <sheet name="Instructions" sheetId="29" r:id="rId2"/>
    <sheet name="Input" sheetId="27" r:id="rId3"/>
    <sheet name="APRData" sheetId="33" r:id="rId4"/>
    <sheet name="Review" sheetId="34" r:id="rId5"/>
    <sheet name="Picklists" sheetId="32" state="hidden" r:id="rId6"/>
    <sheet name="Q4a" sheetId="1" state="hidden" r:id="rId7"/>
    <sheet name="Q5a" sheetId="2" state="hidden" r:id="rId8"/>
    <sheet name="Q7b" sheetId="3" state="hidden" r:id="rId9"/>
    <sheet name="Q8a" sheetId="4" state="hidden" r:id="rId10"/>
    <sheet name="Q8b" sheetId="5" state="hidden" r:id="rId11"/>
    <sheet name="Q13a1" sheetId="6" state="hidden" r:id="rId12"/>
    <sheet name="Q13a2" sheetId="7" state="hidden" r:id="rId13"/>
    <sheet name="Q14b" sheetId="8" state="hidden" r:id="rId14"/>
    <sheet name="Q18" sheetId="9" state="hidden" r:id="rId15"/>
    <sheet name="Q19a3" sheetId="12" state="hidden" r:id="rId16"/>
    <sheet name="Q20b" sheetId="13" state="hidden" r:id="rId17"/>
    <sheet name="Q22a1" sheetId="14" state="hidden" r:id="rId18"/>
    <sheet name="Q22b" sheetId="15" state="hidden" r:id="rId19"/>
    <sheet name="Q23a" sheetId="16" state="hidden" r:id="rId20"/>
    <sheet name="Q23b" sheetId="17" state="hidden" r:id="rId21"/>
    <sheet name="Q25a" sheetId="18" state="hidden" r:id="rId22"/>
    <sheet name="Q26b" sheetId="19" state="hidden" r:id="rId23"/>
    <sheet name="Q27a" sheetId="20" state="hidden" r:id="rId24"/>
    <sheet name="Q27b" sheetId="21" state="hidden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34" l="1"/>
  <c r="B75" i="34"/>
  <c r="B149" i="33" l="1"/>
  <c r="C82" i="34" l="1"/>
  <c r="B97" i="33"/>
  <c r="C106" i="34"/>
  <c r="C105" i="34"/>
  <c r="C103" i="34"/>
  <c r="C100" i="34"/>
  <c r="C99" i="34"/>
  <c r="C98" i="34"/>
  <c r="C95" i="34"/>
  <c r="C94" i="34"/>
  <c r="C93" i="34"/>
  <c r="C92" i="34"/>
  <c r="C89" i="34"/>
  <c r="C87" i="34"/>
  <c r="C85" i="34"/>
  <c r="C83" i="34"/>
  <c r="C79" i="34"/>
  <c r="B54" i="34"/>
  <c r="C73" i="34"/>
  <c r="C72" i="34"/>
  <c r="C71" i="34"/>
  <c r="C65" i="34"/>
  <c r="C64" i="34"/>
  <c r="C61" i="34"/>
  <c r="C60" i="34"/>
  <c r="C59" i="34"/>
  <c r="C58" i="34"/>
  <c r="C57" i="34"/>
  <c r="B52" i="34"/>
  <c r="B53" i="34"/>
  <c r="B49" i="34"/>
  <c r="B47" i="34"/>
  <c r="C43" i="34"/>
  <c r="C42" i="34"/>
  <c r="C37" i="34"/>
  <c r="C36" i="34"/>
  <c r="C35" i="34"/>
  <c r="C34" i="34"/>
  <c r="C32" i="34"/>
  <c r="C31" i="34"/>
  <c r="C30" i="34"/>
  <c r="C29" i="34"/>
  <c r="C28" i="34"/>
  <c r="C27" i="34"/>
  <c r="C23" i="34"/>
  <c r="C22" i="34"/>
  <c r="C21" i="34"/>
  <c r="C5" i="34"/>
  <c r="C4" i="34"/>
  <c r="C3" i="34"/>
  <c r="B234" i="33"/>
  <c r="B237" i="33" s="1"/>
  <c r="B235" i="33"/>
  <c r="B238" i="33" s="1"/>
  <c r="A253" i="33"/>
  <c r="A255" i="33"/>
  <c r="A252" i="33"/>
  <c r="A251" i="33"/>
  <c r="A250" i="33"/>
  <c r="A249" i="33"/>
  <c r="A248" i="33"/>
  <c r="A247" i="33"/>
  <c r="B217" i="33"/>
  <c r="B216" i="33"/>
  <c r="B215" i="33"/>
  <c r="B214" i="33"/>
  <c r="B213" i="33"/>
  <c r="B212" i="33"/>
  <c r="B211" i="33"/>
  <c r="B210" i="33"/>
  <c r="B209" i="33"/>
  <c r="B208" i="33"/>
  <c r="B207" i="33"/>
  <c r="B206" i="33"/>
  <c r="A217" i="33"/>
  <c r="A216" i="33"/>
  <c r="A215" i="33"/>
  <c r="A214" i="33"/>
  <c r="A213" i="33"/>
  <c r="A212" i="33"/>
  <c r="A211" i="33"/>
  <c r="A210" i="33"/>
  <c r="A209" i="33"/>
  <c r="A208" i="33"/>
  <c r="A207" i="33"/>
  <c r="A206" i="33"/>
  <c r="C17" i="27"/>
  <c r="B193" i="33"/>
  <c r="B202" i="33" s="1"/>
  <c r="E202" i="33" s="1"/>
  <c r="B192" i="33"/>
  <c r="B201" i="33" s="1"/>
  <c r="E201" i="33" s="1"/>
  <c r="B191" i="33"/>
  <c r="B200" i="33" s="1"/>
  <c r="E200" i="33" s="1"/>
  <c r="B190" i="33"/>
  <c r="B199" i="33" s="1"/>
  <c r="E199" i="33" s="1"/>
  <c r="B189" i="33"/>
  <c r="B188" i="33"/>
  <c r="B187" i="33"/>
  <c r="B195" i="33" s="1"/>
  <c r="D197" i="33" s="1"/>
  <c r="D198" i="33" s="1"/>
  <c r="B176" i="33"/>
  <c r="B175" i="33"/>
  <c r="B174" i="33"/>
  <c r="B173" i="33"/>
  <c r="B172" i="33"/>
  <c r="B171" i="33"/>
  <c r="B170" i="33"/>
  <c r="B169" i="33"/>
  <c r="A176" i="33"/>
  <c r="A175" i="33"/>
  <c r="A174" i="33"/>
  <c r="A173" i="33"/>
  <c r="A172" i="33"/>
  <c r="A171" i="33"/>
  <c r="A170" i="33"/>
  <c r="A169" i="33"/>
  <c r="A168" i="33"/>
  <c r="A167" i="33"/>
  <c r="A166" i="33"/>
  <c r="B154" i="33"/>
  <c r="A154" i="33"/>
  <c r="A149" i="33"/>
  <c r="B152" i="33"/>
  <c r="A152" i="33"/>
  <c r="B151" i="33"/>
  <c r="A151" i="33"/>
  <c r="B112" i="33"/>
  <c r="B111" i="33"/>
  <c r="B110" i="33"/>
  <c r="B109" i="33"/>
  <c r="A112" i="33"/>
  <c r="A111" i="33"/>
  <c r="A110" i="33"/>
  <c r="A109" i="33"/>
  <c r="A104" i="33"/>
  <c r="B108" i="33"/>
  <c r="A108" i="33"/>
  <c r="B107" i="33"/>
  <c r="A107" i="33"/>
  <c r="B106" i="33"/>
  <c r="A106" i="33"/>
  <c r="B105" i="33"/>
  <c r="A105" i="33"/>
  <c r="B104" i="33"/>
  <c r="B155" i="33"/>
  <c r="B153" i="33"/>
  <c r="A155" i="33"/>
  <c r="A153" i="33"/>
  <c r="B150" i="33"/>
  <c r="A150" i="33"/>
  <c r="A123" i="33"/>
  <c r="B133" i="33"/>
  <c r="B132" i="33"/>
  <c r="A133" i="33"/>
  <c r="A132" i="33"/>
  <c r="B134" i="33"/>
  <c r="A134" i="33"/>
  <c r="B126" i="33"/>
  <c r="B125" i="33"/>
  <c r="B124" i="33"/>
  <c r="B123" i="33"/>
  <c r="A126" i="33"/>
  <c r="A125" i="33"/>
  <c r="A124" i="33"/>
  <c r="B131" i="33"/>
  <c r="B130" i="33"/>
  <c r="A131" i="33"/>
  <c r="A130" i="33"/>
  <c r="B129" i="33"/>
  <c r="A129" i="33"/>
  <c r="B128" i="33"/>
  <c r="A128" i="33"/>
  <c r="B127" i="33"/>
  <c r="A127" i="33"/>
  <c r="B103" i="33"/>
  <c r="A103" i="33"/>
  <c r="B93" i="33"/>
  <c r="B99" i="33" s="1"/>
  <c r="A93" i="33"/>
  <c r="A92" i="33"/>
  <c r="B92" i="33"/>
  <c r="B98" i="33" s="1"/>
  <c r="A91" i="33"/>
  <c r="A90" i="33"/>
  <c r="A89" i="33"/>
  <c r="A88" i="33"/>
  <c r="B91" i="33"/>
  <c r="B90" i="33"/>
  <c r="B89" i="33"/>
  <c r="B88" i="33"/>
  <c r="B7" i="33"/>
  <c r="D161" i="33" s="1"/>
  <c r="B85" i="33"/>
  <c r="B84" i="33"/>
  <c r="B83" i="33"/>
  <c r="D248" i="33"/>
  <c r="D255" i="33"/>
  <c r="D252" i="33"/>
  <c r="D249" i="33"/>
  <c r="D253" i="33"/>
  <c r="D251" i="33"/>
  <c r="C44" i="34" l="1"/>
  <c r="C54" i="34"/>
  <c r="C53" i="34"/>
  <c r="C40" i="34"/>
  <c r="C41" i="34"/>
  <c r="B239" i="33"/>
  <c r="B244" i="33"/>
  <c r="E244" i="33" s="1"/>
  <c r="B240" i="33"/>
  <c r="B241" i="33"/>
  <c r="B224" i="33"/>
  <c r="C104" i="34" s="1"/>
  <c r="B223" i="33"/>
  <c r="B225" i="33"/>
  <c r="B222" i="33"/>
  <c r="C102" i="34" s="1"/>
  <c r="B219" i="33"/>
  <c r="B227" i="33" s="1"/>
  <c r="C107" i="34" s="1"/>
  <c r="B226" i="33"/>
  <c r="B220" i="33"/>
  <c r="B221" i="33"/>
  <c r="C101" i="34" s="1"/>
  <c r="B198" i="33"/>
  <c r="E198" i="33" s="1"/>
  <c r="D97" i="33"/>
  <c r="B197" i="33"/>
  <c r="E197" i="33" s="1"/>
  <c r="C80" i="34" s="1"/>
  <c r="B140" i="33"/>
  <c r="B178" i="33"/>
  <c r="B179" i="33"/>
  <c r="B158" i="33"/>
  <c r="B159" i="33"/>
  <c r="B166" i="33"/>
  <c r="B168" i="33"/>
  <c r="B167" i="33"/>
  <c r="B115" i="33"/>
  <c r="B157" i="33"/>
  <c r="B114" i="33"/>
  <c r="B116" i="33"/>
  <c r="B136" i="33"/>
  <c r="B138" i="33"/>
  <c r="B137" i="33"/>
  <c r="B139" i="33"/>
  <c r="C62" i="34"/>
  <c r="B95" i="33"/>
  <c r="C63" i="34"/>
  <c r="D162" i="33"/>
  <c r="D98" i="33"/>
  <c r="E98" i="33" s="1"/>
  <c r="D7" i="33"/>
  <c r="C145" i="33" s="1"/>
  <c r="D99" i="33"/>
  <c r="E99" i="33" s="1"/>
  <c r="E252" i="33"/>
  <c r="D247" i="33"/>
  <c r="D250" i="33"/>
  <c r="B161" i="33" l="1"/>
  <c r="E161" i="33" s="1"/>
  <c r="C52" i="34"/>
  <c r="B119" i="33"/>
  <c r="C47" i="34"/>
  <c r="B243" i="33"/>
  <c r="E243" i="33" s="1"/>
  <c r="C81" i="34"/>
  <c r="B68" i="34"/>
  <c r="C12" i="34"/>
  <c r="D254" i="33"/>
  <c r="D256" i="33" s="1"/>
  <c r="B228" i="33"/>
  <c r="B181" i="33"/>
  <c r="B183" i="33" s="1"/>
  <c r="B141" i="33"/>
  <c r="B145" i="33" s="1"/>
  <c r="B117" i="33"/>
  <c r="B182" i="33"/>
  <c r="C74" i="34" s="1"/>
  <c r="B162" i="33"/>
  <c r="E162" i="33" s="1"/>
  <c r="B143" i="33"/>
  <c r="E143" i="33" s="1"/>
  <c r="C144" i="33"/>
  <c r="B144" i="33"/>
  <c r="C17" i="34"/>
  <c r="E253" i="33"/>
  <c r="E250" i="33"/>
  <c r="E145" i="33" l="1"/>
  <c r="C68" i="34" s="1"/>
  <c r="C67" i="34"/>
  <c r="C48" i="34"/>
  <c r="E119" i="33"/>
  <c r="B230" i="33"/>
  <c r="E230" i="33" s="1"/>
  <c r="C108" i="34" s="1"/>
  <c r="E183" i="33"/>
  <c r="B66" i="34"/>
  <c r="C13" i="34"/>
  <c r="C10" i="34"/>
  <c r="E97" i="33"/>
  <c r="E144" i="33"/>
  <c r="C66" i="34" s="1"/>
  <c r="E248" i="33"/>
  <c r="E247" i="33"/>
  <c r="E251" i="33"/>
  <c r="E249" i="33"/>
  <c r="E255" i="33"/>
  <c r="C8" i="34" l="1"/>
  <c r="C49" i="34"/>
  <c r="C15" i="34"/>
  <c r="C11" i="34"/>
  <c r="C9" i="34"/>
  <c r="C7" i="34"/>
  <c r="E254" i="33"/>
  <c r="E256" i="33" l="1"/>
  <c r="C16" i="34" s="1"/>
  <c r="C14" i="34"/>
  <c r="B36" i="27" l="1"/>
</calcChain>
</file>

<file path=xl/sharedStrings.xml><?xml version="1.0" encoding="utf-8"?>
<sst xmlns="http://schemas.openxmlformats.org/spreadsheetml/2006/main" count="966" uniqueCount="579">
  <si>
    <t>"Organization Name"</t>
  </si>
  <si>
    <t>"Organization ID"</t>
  </si>
  <si>
    <t>"Project Name"</t>
  </si>
  <si>
    <t>"Project ID"</t>
  </si>
  <si>
    <t>"HMIS Project Type"</t>
  </si>
  <si>
    <t>"Method of Tracking ES"</t>
  </si>
  <si>
    <t>"Is the Services Only (HMIS Project Type 6) affiliated with a residential project?"</t>
  </si>
  <si>
    <t>"Identify the Project ID's of the housing projects this project is affiliated with"</t>
  </si>
  <si>
    <t>"Data Element"</t>
  </si>
  <si>
    <t>"Total Number of Persons Served"</t>
  </si>
  <si>
    <t>"Number of Adults (age 18 or over)"</t>
  </si>
  <si>
    <t>"Number of Children (under age 18)"</t>
  </si>
  <si>
    <t>"Number of Persons with Unknown Age"</t>
  </si>
  <si>
    <t>"Number of Leavers"</t>
  </si>
  <si>
    <t>"Number of Adult Leavers"</t>
  </si>
  <si>
    <t>"Number of Adult and Head of Household Leavers"</t>
  </si>
  <si>
    <t>"Number of Stayers"</t>
  </si>
  <si>
    <t>"Number of Adult Stayers"</t>
  </si>
  <si>
    <t>"Number of Veterans"</t>
  </si>
  <si>
    <t>"Number of Chronically Homeless Persons"</t>
  </si>
  <si>
    <t>"Number of Youth Under Age 25"</t>
  </si>
  <si>
    <t>"Number of Parenting Youth Under Age 25 with Children"</t>
  </si>
  <si>
    <t>"Number of Adult Heads of Household"</t>
  </si>
  <si>
    <t>"Number of Child and Unknown-Age Heads of Household"</t>
  </si>
  <si>
    <t>"Heads of Households and Adult Stayers in the Project 365 Days or More"</t>
  </si>
  <si>
    <t xml:space="preserve"> "Total" </t>
  </si>
  <si>
    <t xml:space="preserve"> "Without Children" </t>
  </si>
  <si>
    <t xml:space="preserve"> "With Children and Adults" </t>
  </si>
  <si>
    <t xml:space="preserve"> "With Only Children" </t>
  </si>
  <si>
    <t xml:space="preserve"> "Unknown Household Type"</t>
  </si>
  <si>
    <t>"January"</t>
  </si>
  <si>
    <t>"April"</t>
  </si>
  <si>
    <t>"July"</t>
  </si>
  <si>
    <t>"October"</t>
  </si>
  <si>
    <t>"Total Households"</t>
  </si>
  <si>
    <t>"Mental Health Problem"</t>
  </si>
  <si>
    <t>"Alcohol Abuse"</t>
  </si>
  <si>
    <t>"Drug Abuse"</t>
  </si>
  <si>
    <t>"Both Alcohol and Drug Abuse"</t>
  </si>
  <si>
    <t>"Chronic Health Condition"</t>
  </si>
  <si>
    <t>"HIV/AIDS"</t>
  </si>
  <si>
    <t>"Development Disability"</t>
  </si>
  <si>
    <t>"Physical Disability"</t>
  </si>
  <si>
    <t>"None"</t>
  </si>
  <si>
    <t>"1 Condition"</t>
  </si>
  <si>
    <t>"2 Conditions"</t>
  </si>
  <si>
    <t>"3+ Conditions"</t>
  </si>
  <si>
    <t>"Condition Unknown"</t>
  </si>
  <si>
    <t>"Client Doesn't Know/Client Refused"</t>
  </si>
  <si>
    <t>"Data Not Collected"</t>
  </si>
  <si>
    <t>"Total"</t>
  </si>
  <si>
    <t>"Yes"</t>
  </si>
  <si>
    <t>"No"</t>
  </si>
  <si>
    <t>"Number of Adults by Income Category"</t>
  </si>
  <si>
    <t xml:space="preserve"> "Number of Adults at Start" </t>
  </si>
  <si>
    <t xml:space="preserve"> "Number of Adults at Annual Assessment (Stayers)" </t>
  </si>
  <si>
    <t xml:space="preserve"> "Number of Adults at Exit (Leavers)"</t>
  </si>
  <si>
    <t>"Adults with Only Earned Income (ie.e, Employment Income)"</t>
  </si>
  <si>
    <t>"Adults with Only Other Income"</t>
  </si>
  <si>
    <t>"Adults with Both Earned and Other Income"</t>
  </si>
  <si>
    <t>"Adults with No Income"</t>
  </si>
  <si>
    <t>"Adults with Client Doesn't Know/Client Refused Income Information"</t>
  </si>
  <si>
    <t>"Adults with Missing Income Information"</t>
  </si>
  <si>
    <t>"Number of Adult Stayers not yet Required to Have an Annual Assessment"</t>
  </si>
  <si>
    <t>"Number of Adult Stayers without Required Annual Assessment"</t>
  </si>
  <si>
    <t>"Total Adults"</t>
  </si>
  <si>
    <t>"1 or More Source of Income"</t>
  </si>
  <si>
    <t>"Adults with Income Information at Start and Annual Assessment/Exit"</t>
  </si>
  <si>
    <t xml:space="preserve"> "Total Adults (including those with No Income)" </t>
  </si>
  <si>
    <t xml:space="preserve"> Average Gain" </t>
  </si>
  <si>
    <t xml:space="preserve"> "Performance measure: Percent of persons who accomplished this measure"</t>
  </si>
  <si>
    <t>"Number of Adults with Earned Income (ie.e, Employment Income)"</t>
  </si>
  <si>
    <t>"Average Change in Earned Income"</t>
  </si>
  <si>
    <t>"Number of Adults with Other Income"</t>
  </si>
  <si>
    <t>"Average Change in Other Income"</t>
  </si>
  <si>
    <t>"Number of Adults with Any Income (i.e., Total Income)"</t>
  </si>
  <si>
    <t>"Average Change in Overall Income"</t>
  </si>
  <si>
    <t>"Income Change by Income Category (Universe: Adults with Income Information at Start and Annual Assessment/Exit)"</t>
  </si>
  <si>
    <t xml:space="preserve"> "Had Income Category at Start and Did Not Have It at Annual Assessment/Exit" </t>
  </si>
  <si>
    <t xml:space="preserve"> "Retained Income  Category But Had Less $ at Annual Assessment/Exit Than at Start" </t>
  </si>
  <si>
    <t xml:space="preserve"> "Retained Income Category and Same $ at Annual Assessment/Exit as at Start" </t>
  </si>
  <si>
    <t xml:space="preserve"> "Retained Income Category and Increased $ at Annual Assessment/Exit" </t>
  </si>
  <si>
    <t xml:space="preserve"> "Did Not Have the Income Category at Start and Gained the Income Category at Annual Assessment/Exit" </t>
  </si>
  <si>
    <t xml:space="preserve"> "Did Not Have the Income Category at Start or at Annual Assessment/Exit" </t>
  </si>
  <si>
    <t xml:space="preserve"> "Performance Measure: Adults who Gained or Increased Income from Start to Annual Assessment/Exit</t>
  </si>
  <si>
    <t xml:space="preserve"> "Benefit at Entry" </t>
  </si>
  <si>
    <t xml:space="preserve"> "Benefit at Latest Annual Assessment for Stayers" </t>
  </si>
  <si>
    <t xml:space="preserve"> "Benefit at Exit for Leavers"</t>
  </si>
  <si>
    <t>"No Sources"</t>
  </si>
  <si>
    <t>"1 + Source(s)"</t>
  </si>
  <si>
    <t>"Length"</t>
  </si>
  <si>
    <t xml:space="preserve"> "Leavers" </t>
  </si>
  <si>
    <t xml:space="preserve"> "Stayers"</t>
  </si>
  <si>
    <t>"30 days or less"</t>
  </si>
  <si>
    <t>"31 to 60 days"</t>
  </si>
  <si>
    <t>"61 to 90 days"</t>
  </si>
  <si>
    <t>"91 to 180 days"</t>
  </si>
  <si>
    <t>"181 to 365 days"</t>
  </si>
  <si>
    <t>"366 to 730 Days (1-2 Yrs)"</t>
  </si>
  <si>
    <t>"731 to 1,095 Days (2-3 Yrs)"</t>
  </si>
  <si>
    <t>"1,096 to 1,460 Days (3-4 Yrs)"</t>
  </si>
  <si>
    <t>"1,461 to 1,825 Days (5-5 Yrs)"</t>
  </si>
  <si>
    <t>"More than 1,825 Days (&gt;5 Yrs)"</t>
  </si>
  <si>
    <t>"Average Length"</t>
  </si>
  <si>
    <t>"Median Length"</t>
  </si>
  <si>
    <t>"Permanent Destinations"</t>
  </si>
  <si>
    <t>"Moved from one HOPWA funded project to HOPWA PH"</t>
  </si>
  <si>
    <t>"Owned by client, no ongoing subsidy"</t>
  </si>
  <si>
    <t>"Owned by client, with ongoing subsidy"</t>
  </si>
  <si>
    <t>"Rental by client, no ongoing subsidy"</t>
  </si>
  <si>
    <t>"Rental by client, with VASH subsidy"</t>
  </si>
  <si>
    <t>"Rental by client, with GPD TIP subsidy"</t>
  </si>
  <si>
    <t>"Rental by client, other ongoing subsidy"</t>
  </si>
  <si>
    <t>"Permanent housing (other than RRH) for formerly homeless persons"</t>
  </si>
  <si>
    <t>"Staying or living with family, permanent tenure"</t>
  </si>
  <si>
    <t>"Staying or living with friends, permanent tenure"</t>
  </si>
  <si>
    <t>"Rental by client, with RRH or equivalent subsidy"</t>
  </si>
  <si>
    <t>"Subtotal"</t>
  </si>
  <si>
    <t>"Temporary Destinations"</t>
  </si>
  <si>
    <t>"Emergency shelter, including hotel or motel paid for with emergency shelter voucher"</t>
  </si>
  <si>
    <t>"Moved from one HOPWA funded project to HOPWA TH"</t>
  </si>
  <si>
    <t>"Transitional housing for homeless persons (including homeless youth)"</t>
  </si>
  <si>
    <t>"Staying or living with family, temporary tenure"</t>
  </si>
  <si>
    <t>"Staying or living with friends, temporary tenure"</t>
  </si>
  <si>
    <t>"Place not meant for human habitation"</t>
  </si>
  <si>
    <t>"Safe Haven"</t>
  </si>
  <si>
    <t>"Hotel or motel, paid by client "</t>
  </si>
  <si>
    <t>"Institutional Settings"</t>
  </si>
  <si>
    <t>"Foster care home or group foster care home"</t>
  </si>
  <si>
    <t>"Psychiatric hospital or other psychiatric facility"</t>
  </si>
  <si>
    <t>"Substance abuse treatment facility or detox center"</t>
  </si>
  <si>
    <t>"Hospital  or other residential non-psychiatric medical facility"</t>
  </si>
  <si>
    <t>"Jail, prison, or juvenile detention facility"</t>
  </si>
  <si>
    <t>"Long-term care facility or nursing home"</t>
  </si>
  <si>
    <t>"Other Destinations"</t>
  </si>
  <si>
    <t>"Residential project or halfway house with no homeless criteria"</t>
  </si>
  <si>
    <t>"Deceased"</t>
  </si>
  <si>
    <t>"Other"</t>
  </si>
  <si>
    <t>"Data Not Collected (no exit interview completed)"</t>
  </si>
  <si>
    <t>"Total persons exiting to positive housing destinations"</t>
  </si>
  <si>
    <t>"Total persons whose destinations excluded them from the calculation"</t>
  </si>
  <si>
    <t>"Percentage"</t>
  </si>
  <si>
    <t>"Chronically Homeless Veteran"</t>
  </si>
  <si>
    <t>"Non-Chronically Homeless Veteran"</t>
  </si>
  <si>
    <t>"Not a Veteran"</t>
  </si>
  <si>
    <t>"Chronically Homeless "</t>
  </si>
  <si>
    <t>"Not Chronically Homeless"</t>
  </si>
  <si>
    <t>"12 - 17"</t>
  </si>
  <si>
    <t>"18 - 24"</t>
  </si>
  <si>
    <t xml:space="preserve"> "Total parenting youth" </t>
  </si>
  <si>
    <t xml:space="preserve"> "Total children of parenting youth" </t>
  </si>
  <si>
    <t xml:space="preserve"> "Total Persons" </t>
  </si>
  <si>
    <t xml:space="preserve"> "Total Households"</t>
  </si>
  <si>
    <t>"Parent youth &lt; 18"</t>
  </si>
  <si>
    <t>"Parent youth 18 to 24"</t>
  </si>
  <si>
    <t xml:space="preserve">Agency Name </t>
  </si>
  <si>
    <t>Program Name</t>
  </si>
  <si>
    <t xml:space="preserve">Project Type </t>
  </si>
  <si>
    <t>Housing Inventory</t>
  </si>
  <si>
    <t xml:space="preserve">Primary </t>
  </si>
  <si>
    <t xml:space="preserve">Secondary </t>
  </si>
  <si>
    <t>Number of Adult Leavers (5a.6.)</t>
  </si>
  <si>
    <t>Number of Adult Stayers (5a.9.)</t>
  </si>
  <si>
    <t>Reduce Returns to Homelessness</t>
  </si>
  <si>
    <t>Percent of Exits to Unknown or Homelessness</t>
  </si>
  <si>
    <t>Retain or Increase Income</t>
  </si>
  <si>
    <t>Total Adults(Including those with No Income) (19a3)</t>
  </si>
  <si>
    <t xml:space="preserve">Client Cash Income Change - Income Source - by Entry and exit (19a3) -- Income Change for Income Category (Universe: Adult Stayers with Income Information at Entry and Annual Assessment/Exit) </t>
  </si>
  <si>
    <t>Number of Adults with Earned Income (i.e.Employment Income)-Retained Income Category and Same $ at Annual Assessment/Exit as at Entry</t>
  </si>
  <si>
    <t xml:space="preserve">Number of Adults with Earned Income (i.e. Employment Income) Perfomance Measure: Adults who Gained or Increased Income from entry to exit, average gain. </t>
  </si>
  <si>
    <t xml:space="preserve">Percentage of Adults with Earned Income from entry to annual assessment/exit </t>
  </si>
  <si>
    <t>Definition</t>
  </si>
  <si>
    <t>Value</t>
  </si>
  <si>
    <t>Number of Adults with Other Income- Retained Income Category and Same $ at Annual Assessment/Exit as at Entry</t>
  </si>
  <si>
    <t xml:space="preserve">Number of Adults with Other Income Perfomance Measure: Adults who Gained or Increased Income from entry to exit, average gain. </t>
  </si>
  <si>
    <t>Percentage of Adults with Other Income from entry to annual assessment/exit</t>
  </si>
  <si>
    <t>Number of Adults with Any Income (i.e. Total Income) -Retained Income Category and Same $ at Annual Assessment/Exit as at Entry</t>
  </si>
  <si>
    <t xml:space="preserve">Number of Adults with Any Income (i.e. Total Income)  Perfomance Measure: Adults who Gained or Increased Income from entry to exit, average gain. </t>
  </si>
  <si>
    <t xml:space="preserve">Pecentage of Adults with any income from entry to annual assessment/exit </t>
  </si>
  <si>
    <t xml:space="preserve">Number of Non-Cash Benefit Sources (20b) 1+ Source(s) at Exit for Leavers </t>
  </si>
  <si>
    <t>Number of Non-Cash Benefit Sources (20b) 1+ Source(s) at Latest Annual Assessment for Stayers</t>
  </si>
  <si>
    <t>Number of Non-Cash Benefit Sources (20b) Data Not Collected at Benefit at Last Annual Assessment for Stayers</t>
  </si>
  <si>
    <t xml:space="preserve">Percentage of participants obtaining or retaining mainstream benefits from entry to program exit </t>
  </si>
  <si>
    <t>Exits to Permanent Housing / Housing Stability</t>
  </si>
  <si>
    <t xml:space="preserve">Percentage of Persons Exiting to PH </t>
  </si>
  <si>
    <t>Program Model Effectiveness</t>
  </si>
  <si>
    <t>Point-in-Time Count of Persons on the Last Wednesday (7b)</t>
  </si>
  <si>
    <t xml:space="preserve">Average Number of Persons Served on the Last Wednesday </t>
  </si>
  <si>
    <t>Point-in-Time Count of Households on the Last Wednesday (8b)</t>
  </si>
  <si>
    <t xml:space="preserve">Average Number of Households Served on the Last Wednesday </t>
  </si>
  <si>
    <t xml:space="preserve">Average Occupancy by Person </t>
  </si>
  <si>
    <t xml:space="preserve">Average Occupancy by Household </t>
  </si>
  <si>
    <t>HMIS Audit Score</t>
  </si>
  <si>
    <t xml:space="preserve">Deobligated Funds (Reported by HUD) </t>
  </si>
  <si>
    <t xml:space="preserve">Drawdown Rates (Reported by HUD) </t>
  </si>
  <si>
    <t>Bonus Points</t>
  </si>
  <si>
    <t>Percentage of Persons with HIV/AIDS</t>
  </si>
  <si>
    <t xml:space="preserve">Percentage of Persons Fleeing Domestic Violence </t>
  </si>
  <si>
    <t>Percentage of Households Served with Children</t>
  </si>
  <si>
    <t>Percentage of Persons that are Chronically Homeless</t>
  </si>
  <si>
    <t xml:space="preserve">Percentage of Veterans Served </t>
  </si>
  <si>
    <t xml:space="preserve">Percentage of Persons served with Multiple Conditions at Start </t>
  </si>
  <si>
    <t xml:space="preserve">Subtotal of Exit Destination - 180 Days or Less </t>
  </si>
  <si>
    <t xml:space="preserve">Total Number of Program Leavers before 6 months Equals 0 </t>
  </si>
  <si>
    <t xml:space="preserve">Percentage of Persons Exiting to Family and Friends Permanent Destination </t>
  </si>
  <si>
    <t>Successful Length of Stay</t>
  </si>
  <si>
    <t>Conditional Status</t>
  </si>
  <si>
    <t>Data Point</t>
  </si>
  <si>
    <t>Location</t>
  </si>
  <si>
    <t>HOUSING INVENTORY</t>
  </si>
  <si>
    <t>TARGET POPULATIONS</t>
  </si>
  <si>
    <t>HMIS AUDIT RESULTS</t>
  </si>
  <si>
    <t>Passed HMIS Audit</t>
  </si>
  <si>
    <t>Completed Audit Result Corrective Actions</t>
  </si>
  <si>
    <t>Passed HMIS Re-Evaluation</t>
  </si>
  <si>
    <t>HMIS Admin</t>
  </si>
  <si>
    <t>DEOBLIGATED FUNDS   (REPORTED BY HUD)</t>
  </si>
  <si>
    <t>DRAWDOWN RATES   (REPORTED BY HUD)</t>
  </si>
  <si>
    <t>Program performed appropriate quarterly drawdowns</t>
  </si>
  <si>
    <t>CONDITIONAL STATUS</t>
  </si>
  <si>
    <t>RETAIN OR INCREASE INCOME</t>
  </si>
  <si>
    <t>Calculate R/I Income by Household?</t>
  </si>
  <si>
    <t>Agency Decision</t>
  </si>
  <si>
    <t>Agency</t>
  </si>
  <si>
    <t>Supporting Stats provided by Agency?   (Entered in following rows)</t>
  </si>
  <si>
    <t>T/F</t>
  </si>
  <si>
    <t>Retain or Increase Income (by Adult Individuals)</t>
  </si>
  <si>
    <t>TH Pass</t>
  </si>
  <si>
    <t>RRH Pass</t>
  </si>
  <si>
    <t>PSH Pass</t>
  </si>
  <si>
    <t>TH Conditional</t>
  </si>
  <si>
    <t>RRH Conditional</t>
  </si>
  <si>
    <t>PSH Conditional</t>
  </si>
  <si>
    <t>Item</t>
  </si>
  <si>
    <t>RETURNS TO HOMELESSNESS</t>
  </si>
  <si>
    <t>Percentage of Households with Other Income from entry to annual assessment/exit</t>
  </si>
  <si>
    <t xml:space="preserve">Pecentage of Households with any income from entry to annual assessment/exit </t>
  </si>
  <si>
    <t xml:space="preserve">Percentage of Households obtaining or retaining mainstream benefits from entry to program exit </t>
  </si>
  <si>
    <t xml:space="preserve">Percentage of Adults obtaining or retaining mainstream benefits from entry to program exit </t>
  </si>
  <si>
    <t>EXITS TO PERMANENT HOUSING &amp; HOUSING STABILITY</t>
  </si>
  <si>
    <t>PROGRAM MODEL EFFECTIVENESS</t>
  </si>
  <si>
    <t>Automagic</t>
  </si>
  <si>
    <t>Agency Data matches what data we have available (Total HH count?)</t>
  </si>
  <si>
    <t>Total Year Round Beds   (per latest HUD application)</t>
  </si>
  <si>
    <t>Total Year Round Units   (per latest HUD application)</t>
  </si>
  <si>
    <t>Total Unit count reported in latest GIW</t>
  </si>
  <si>
    <t>Basic Information</t>
  </si>
  <si>
    <t>Conditions for Next Year</t>
  </si>
  <si>
    <t>Ranking Order</t>
  </si>
  <si>
    <t>Overview Information</t>
  </si>
  <si>
    <t>Points by Section</t>
  </si>
  <si>
    <t xml:space="preserve">  - Retain or Increase Income</t>
  </si>
  <si>
    <t xml:space="preserve">  - Special Populations</t>
  </si>
  <si>
    <t xml:space="preserve">  - Program Administration</t>
  </si>
  <si>
    <t>Total Number of Units reported in Last Year GIW</t>
  </si>
  <si>
    <t>Agency Comments:</t>
  </si>
  <si>
    <t>Average Program Stay for Leavers</t>
  </si>
  <si>
    <t>Number of Adult Stayers</t>
  </si>
  <si>
    <t>Number of Adult Leavers</t>
  </si>
  <si>
    <t>Total Number of Leavers</t>
  </si>
  <si>
    <t>Number of Youth 18-24 Without Children</t>
  </si>
  <si>
    <t>Number of Persons with Unknown Age</t>
  </si>
  <si>
    <t>Number of Children (under age 18)</t>
  </si>
  <si>
    <t>Number of Adults (age 18 or over)</t>
  </si>
  <si>
    <t>Total Number of Persons Served</t>
  </si>
  <si>
    <t>Program Administration</t>
  </si>
  <si>
    <t>Conditions Imposed in Previous Year</t>
  </si>
  <si>
    <t>Prior Scorecard</t>
  </si>
  <si>
    <t>Previous Conditions have been satisfied</t>
  </si>
  <si>
    <t>New Conditions Imposed</t>
  </si>
  <si>
    <t>Condition Details</t>
  </si>
  <si>
    <t>OVERALL SCORE</t>
  </si>
  <si>
    <t>Overview Comments</t>
  </si>
  <si>
    <t>Inventory &amp; Population Comments</t>
  </si>
  <si>
    <t>Income Comments</t>
  </si>
  <si>
    <t xml:space="preserve">Average Households Served on the Last Wednesday </t>
  </si>
  <si>
    <t xml:space="preserve">Average Persons Served on the Last Wednesday </t>
  </si>
  <si>
    <t>% of Exits to Unknown or Homelessness</t>
  </si>
  <si>
    <t>% of Persons with HIV/AIDS</t>
  </si>
  <si>
    <t xml:space="preserve">% of Persons Fleeing Domestic Violence </t>
  </si>
  <si>
    <t>% of Households Served with Children</t>
  </si>
  <si>
    <t>% of Persons that are Chronically Homeless</t>
  </si>
  <si>
    <t xml:space="preserve">% of Veterans Served </t>
  </si>
  <si>
    <t xml:space="preserve">% of persons that enter program with 0 income </t>
  </si>
  <si>
    <t xml:space="preserve">% of Persons served with multiple Conditions at Start </t>
  </si>
  <si>
    <t>Completed Audit Result Corrective Actions (if necessary)</t>
  </si>
  <si>
    <t>Passed HMIS Re-Evaluation (if necessary)</t>
  </si>
  <si>
    <t>Threshold</t>
  </si>
  <si>
    <t>Project Type Acronym</t>
  </si>
  <si>
    <t>Percentage of Adults with Earned Income from entry to annual assessment/exit</t>
  </si>
  <si>
    <t xml:space="preserve">Pecentage of Adults with Any income from entry to annual assessment/exit </t>
  </si>
  <si>
    <t>Percentage of Households with Earned Income from entry to annual assessment/exit</t>
  </si>
  <si>
    <t>Average Occupancy</t>
  </si>
  <si>
    <t>Total Points, by Section</t>
  </si>
  <si>
    <t>Total</t>
  </si>
  <si>
    <t>Number of Parenting Youth Age 18 to 24</t>
  </si>
  <si>
    <t>Conditions from Previous Year Satisfied</t>
  </si>
  <si>
    <t>Utilization Rates</t>
  </si>
  <si>
    <t>Yes</t>
  </si>
  <si>
    <t>No</t>
  </si>
  <si>
    <t>Dropdown Options</t>
  </si>
  <si>
    <t>Max Points</t>
  </si>
  <si>
    <t>Points Awarded</t>
  </si>
  <si>
    <t>GIW</t>
  </si>
  <si>
    <t>[RfFU]</t>
  </si>
  <si>
    <t xml:space="preserve">Program Deobligated less than 10% of awarded funds </t>
  </si>
  <si>
    <t>Calculate Occupancy by Units</t>
  </si>
  <si>
    <t>Final Occupancy Value</t>
  </si>
  <si>
    <t>Reviewer</t>
  </si>
  <si>
    <t>-</t>
  </si>
  <si>
    <t>Cell is to be populated by Agency, if necessary</t>
  </si>
  <si>
    <t>Program Data</t>
  </si>
  <si>
    <t>HUD Notification</t>
  </si>
  <si>
    <t>Value Formula</t>
  </si>
  <si>
    <t>Number of Special Populations &gt; 10%</t>
  </si>
  <si>
    <t>eSNAPS</t>
  </si>
  <si>
    <t>eLOCCS</t>
  </si>
  <si>
    <t>Total Unit count reported in latest GIW (RRH Only)</t>
  </si>
  <si>
    <t>Cell updated by Reviewer, if applicable</t>
  </si>
  <si>
    <t>Total Number of Stayers</t>
  </si>
  <si>
    <t>Step 1</t>
  </si>
  <si>
    <t>If a field is not applicable, it may be left blank. (For example; if you passed your HMIS Audit, there will be no re-evaluation results to enter.)</t>
  </si>
  <si>
    <t>Blank fields will be highlighted in bright yellow.</t>
  </si>
  <si>
    <t>If a field has an incorrect value, you may change it. (If you make any changes to pre-populated values, it is recommended that you contact your Lead Agency to confirm where the incorrect value originated.)</t>
  </si>
  <si>
    <t>Complete Required Input</t>
  </si>
  <si>
    <t>Step 2</t>
  </si>
  <si>
    <t>Review Data</t>
  </si>
  <si>
    <t>Confirm that all of the data under the "Review" tab is correct.</t>
  </si>
  <si>
    <t>Confirm that all of the values in column C of the "Input" tab are filled in and correct.</t>
  </si>
  <si>
    <t>Do not enter a value for the "Calculate Occupancy by Units" field. This is to be determined by the Reviewer.</t>
  </si>
  <si>
    <t>Summary of all scored sections are at the top of the page, in the "Overview" section.</t>
  </si>
  <si>
    <t>Each individual section can be viewed by scrolling down.</t>
  </si>
  <si>
    <t>For each section, enter any desired comments in the "Agency Comments" field.</t>
  </si>
  <si>
    <t>If any data is incorrect, please contact your Lead Agency. This data is not editable.</t>
  </si>
  <si>
    <t>Step 3</t>
  </si>
  <si>
    <t>Provide Comments/Justification</t>
  </si>
  <si>
    <t>Do not proceed with the next step if you have any reason to dispute the data reflected in this tab.</t>
  </si>
  <si>
    <t>It is recommended that you look in the "Data" tab to see how all of this data is collected and calculated.</t>
  </si>
  <si>
    <t>Please keep comments concise.</t>
  </si>
  <si>
    <t>Please restrict comments to the appropriate sections.</t>
  </si>
  <si>
    <t>If you have additional comments that cannot fit in the appropriate sections, please submit them as an additional document.</t>
  </si>
  <si>
    <t>Note: "Ranking Order" is to be determined by the Reviewer. Do not enter anything in this field.</t>
  </si>
  <si>
    <t>Information in that "Data" tab is primarily pulled from the APR.</t>
  </si>
  <si>
    <t>The only exceptions to this are the items populated in the "Input" tab of this Scorecard.</t>
  </si>
  <si>
    <t>Fields pulled from the APR should note where that data is pulled.</t>
  </si>
  <si>
    <t>Example: The value for "Total Number of Persons Served (5a.1.)" is the value from APR Section 5a, Question 1, which is labeled "Total Number of Persons Served."</t>
  </si>
  <si>
    <t>Any value that is not directly pulled from the APR shows a simple breakdown of how that value is calculated.</t>
  </si>
  <si>
    <t xml:space="preserve">Percentage of adults that enter program with 0 income </t>
  </si>
  <si>
    <t>Program Guidelines</t>
  </si>
  <si>
    <t>Project Participates in Coordinated Entry</t>
  </si>
  <si>
    <t>Error Rate at or below 5% (Excluding SSN)</t>
  </si>
  <si>
    <t>Average # of Days From Project Start to Housing Move-In</t>
  </si>
  <si>
    <r>
      <t xml:space="preserve">Total Program Leavers before </t>
    </r>
    <r>
      <rPr>
        <b/>
        <sz val="11"/>
        <color theme="1"/>
        <rFont val="Calibri"/>
        <family val="2"/>
        <scheme val="minor"/>
      </rPr>
      <t>6 months is Zero</t>
    </r>
  </si>
  <si>
    <r>
      <t xml:space="preserve">Average LoT from Project Start to Housing Move-In is </t>
    </r>
    <r>
      <rPr>
        <b/>
        <sz val="11"/>
        <color theme="1"/>
        <rFont val="Calibri"/>
        <family val="2"/>
        <scheme val="minor"/>
      </rPr>
      <t>less than 30 days</t>
    </r>
  </si>
  <si>
    <t xml:space="preserve">% of Adult Project Participants with an Increase in Total Income </t>
  </si>
  <si>
    <t>Successful Exits or Retention</t>
  </si>
  <si>
    <r>
      <t xml:space="preserve">Average Program Stay for Leavers is below </t>
    </r>
    <r>
      <rPr>
        <b/>
        <sz val="11"/>
        <color theme="1"/>
        <rFont val="Calibri"/>
        <family val="2"/>
        <scheme val="minor"/>
      </rPr>
      <t>180</t>
    </r>
    <r>
      <rPr>
        <sz val="11"/>
        <color theme="1"/>
        <rFont val="Calibri"/>
        <family val="2"/>
        <scheme val="minor"/>
      </rPr>
      <t xml:space="preserve"> Days </t>
    </r>
  </si>
  <si>
    <t>Bonus Points - Special Populations</t>
  </si>
  <si>
    <t>RRH</t>
  </si>
  <si>
    <t>Total Number of Year Round Beds submitted on HIC/most recent HUD application</t>
  </si>
  <si>
    <t>Total Number of Year Round Units submitted on HIC/most recent HUD application</t>
  </si>
  <si>
    <t>Total Number Served (May 1, 2019 - April 30, 2020)</t>
  </si>
  <si>
    <t>Total Leavers/Stayers (May 1, 2019 - April 30, 2020)</t>
  </si>
  <si>
    <t>27a - row 2 ("18-24"), column 2 ("without children")</t>
  </si>
  <si>
    <t>27b - row 2 ("parenting youth 18 to 24"), column 1 ("Total Parenting Youth")</t>
  </si>
  <si>
    <t>Rapid Re-Housing</t>
  </si>
  <si>
    <t>Permanent Supportive Housing</t>
  </si>
  <si>
    <t>Transitional Housing</t>
  </si>
  <si>
    <t>Project Type</t>
  </si>
  <si>
    <t>Project Type Acronymn</t>
  </si>
  <si>
    <t>PSH</t>
  </si>
  <si>
    <t>TH</t>
  </si>
  <si>
    <t xml:space="preserve">22a1, Row 1 "30 days or less", Column 2 "Leavers" </t>
  </si>
  <si>
    <t xml:space="preserve">22a1, Row 2 "31 to 60 days", Column 2 "Leavers" </t>
  </si>
  <si>
    <t xml:space="preserve">22a1, Row 3 "61 to 90 days", Column 2 "Leavers" </t>
  </si>
  <si>
    <t xml:space="preserve">22a1, Row 4 "91 to 180 days", Column 2 "Leavers" </t>
  </si>
  <si>
    <t>Max Points column references thresholds on hidden tab</t>
  </si>
  <si>
    <t>Population Served</t>
  </si>
  <si>
    <t>22c, Row 10 "Average length of time to housing", Column 1 "Total"</t>
  </si>
  <si>
    <t>22b, Row 1 "Average Length", Column 1 "Leavers"</t>
  </si>
  <si>
    <r>
      <t xml:space="preserve">Total Number of Leavers </t>
    </r>
    <r>
      <rPr>
        <i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Deceased</t>
    </r>
  </si>
  <si>
    <t>Total Leavers - Exits to Deceased</t>
  </si>
  <si>
    <t>Exit Destination - All persons (23c)</t>
  </si>
  <si>
    <t xml:space="preserve">18, Row 7 "number of adult stayers not yet required to have an annual assessment", Column 2 "Number of Adults at Annual Assessment (Stayers)" </t>
  </si>
  <si>
    <t>Client Cash Income Change - Income Source - by Start and Latest Status (19a1)</t>
  </si>
  <si>
    <t>Total Points for Increasing Income</t>
  </si>
  <si>
    <t xml:space="preserve">   - Above 46% (15 Points)</t>
  </si>
  <si>
    <t xml:space="preserve">   - Between 36% - 45% (10 Points)</t>
  </si>
  <si>
    <t xml:space="preserve">   - Between 25% - 35% (5 Points)</t>
  </si>
  <si>
    <t xml:space="preserve">% of Adults obtaining or retaining mainstream benefits </t>
  </si>
  <si>
    <t>Total Adults with Valid Data</t>
  </si>
  <si>
    <t>Number of Non-Cash Benefit Sources (20b)</t>
  </si>
  <si>
    <t>RETAIN OR OBTAIN INSURANCE</t>
  </si>
  <si>
    <t>RETAIN OR OBTAIN BENEFITS</t>
  </si>
  <si>
    <t xml:space="preserve">Percentage of Adults obtaining or retaining medical insurance from entry to program exit </t>
  </si>
  <si>
    <t>Percentage of Adults who increased income</t>
  </si>
  <si>
    <t>% of Adults obtaining or retaining health insurance</t>
  </si>
  <si>
    <t>Health Insurance (21)</t>
  </si>
  <si>
    <t xml:space="preserve">% of Persons with Successful Exits (for TH Only) </t>
  </si>
  <si>
    <t>Total Number of Stayers (5a.8)</t>
  </si>
  <si>
    <t>Auto-populates based on number entered above</t>
  </si>
  <si>
    <t xml:space="preserve">Program Administration </t>
  </si>
  <si>
    <t>HMIS</t>
  </si>
  <si>
    <t>Error Rates at or below 5% (Excluding SSN)</t>
  </si>
  <si>
    <t>CoC APR</t>
  </si>
  <si>
    <t>PROGRAM GUIDELINES</t>
  </si>
  <si>
    <t>Auto-calculates</t>
  </si>
  <si>
    <t>Percentage of Youth Household Population</t>
  </si>
  <si>
    <t>% of Youth Household Population</t>
  </si>
  <si>
    <t>14b, Row 1 "yes", Column 1 "Total"</t>
  </si>
  <si>
    <t>Number of Chronically Homeless Persons (5a.11)</t>
  </si>
  <si>
    <t>Number of Veterans (5a.10)</t>
  </si>
  <si>
    <t xml:space="preserve">18, Row 4 "Adults with No Income", Column 1 "Number of Adults at Start" </t>
  </si>
  <si>
    <t xml:space="preserve">  - Successful Length of Stay</t>
  </si>
  <si>
    <t xml:space="preserve">  - Reduce Returns to Homelessness</t>
  </si>
  <si>
    <t xml:space="preserve">  - Successful Exits or Retention</t>
  </si>
  <si>
    <t xml:space="preserve">  - Utilization Rates</t>
  </si>
  <si>
    <t xml:space="preserve">  - Conditional Status</t>
  </si>
  <si>
    <t>Total Points Received Before Bonus</t>
  </si>
  <si>
    <t>Total Before Bonus Points</t>
  </si>
  <si>
    <t>Total Points Received After Bonus</t>
  </si>
  <si>
    <t xml:space="preserve">TBD </t>
  </si>
  <si>
    <r>
      <t xml:space="preserve">HMIS Audit Score </t>
    </r>
    <r>
      <rPr>
        <b/>
        <sz val="11"/>
        <color theme="1"/>
        <rFont val="Calibri"/>
        <family val="2"/>
        <scheme val="minor"/>
      </rPr>
      <t>Greater than 90%</t>
    </r>
  </si>
  <si>
    <r>
      <t xml:space="preserve">Error Rate at or </t>
    </r>
    <r>
      <rPr>
        <b/>
        <sz val="11"/>
        <rFont val="Calibri"/>
        <family val="2"/>
        <scheme val="minor"/>
      </rPr>
      <t xml:space="preserve">below 5% </t>
    </r>
    <r>
      <rPr>
        <sz val="11"/>
        <rFont val="Calibri"/>
        <family val="2"/>
        <scheme val="minor"/>
      </rPr>
      <t>(Excluding SSN)</t>
    </r>
  </si>
  <si>
    <r>
      <t xml:space="preserve">Program Deobligated </t>
    </r>
    <r>
      <rPr>
        <b/>
        <sz val="11"/>
        <color theme="1"/>
        <rFont val="Calibri"/>
        <family val="2"/>
        <scheme val="minor"/>
      </rPr>
      <t xml:space="preserve">less than 10% </t>
    </r>
    <r>
      <rPr>
        <sz val="11"/>
        <color theme="1"/>
        <rFont val="Calibri"/>
        <family val="2"/>
        <scheme val="minor"/>
      </rPr>
      <t xml:space="preserve">of awarded funds </t>
    </r>
  </si>
  <si>
    <r>
      <t xml:space="preserve">Drawdown Rates at least </t>
    </r>
    <r>
      <rPr>
        <b/>
        <sz val="11"/>
        <color theme="1"/>
        <rFont val="Calibri"/>
        <family val="2"/>
        <scheme val="minor"/>
      </rPr>
      <t>once per Quarter</t>
    </r>
  </si>
  <si>
    <t xml:space="preserve">21, Row 14 "number of  stayers not yet required to have an annual assessment", Column 3 "At Annual Assessment for Stayers" </t>
  </si>
  <si>
    <t>Entered in Input tab</t>
  </si>
  <si>
    <t xml:space="preserve">Number of Adult Stayers not yet required to have an annual assessment </t>
  </si>
  <si>
    <t>Report Validations Table (5a)</t>
  </si>
  <si>
    <t>Length of Participation - CoC Projects (22a1)</t>
  </si>
  <si>
    <t>Number of Households Served (8a)</t>
  </si>
  <si>
    <t>Physical and Mental Health Conditions at Start (13a1)</t>
  </si>
  <si>
    <t>Number of Conditions at Start (13a2)</t>
  </si>
  <si>
    <t>Persons Fleeing Domestic Violence (14b)</t>
  </si>
  <si>
    <t>January; Total</t>
  </si>
  <si>
    <t>April; Total</t>
  </si>
  <si>
    <t>July; Total</t>
  </si>
  <si>
    <t>October; Total</t>
  </si>
  <si>
    <t xml:space="preserve">Total Households; Total  </t>
  </si>
  <si>
    <t xml:space="preserve">Total Households; With Children and Adults </t>
  </si>
  <si>
    <t>HIV/AIDS; Total Persons</t>
  </si>
  <si>
    <t>2 Conditions; Total Persons</t>
  </si>
  <si>
    <t>3+ Conditions; Total Persons</t>
  </si>
  <si>
    <t>Yes; Total</t>
  </si>
  <si>
    <t>Client Cash Income Category - Earned/Other Income Category - by Start and Annual Assessment/Exit Status (18)</t>
  </si>
  <si>
    <t>Number of adult stayers not yet required to have an annual assessment; (Stayers)</t>
  </si>
  <si>
    <t>Number of Adults with Any Income; Performance Measure: Adults who Gained or Increased Income from Start to Annual Assessment</t>
  </si>
  <si>
    <t>Client Cash Income Change - Income Source - by Start and Exit (19a2)</t>
  </si>
  <si>
    <t xml:space="preserve">Number of Adults with Any Income; Performance Measure: Adults who Gained or Increased Income from Start to Exit </t>
  </si>
  <si>
    <t>1+ Source(s); Benefit at Latest Annual Assessment for Stayers</t>
  </si>
  <si>
    <t>1+ Source(s); Benefit at Exit for Leavers</t>
  </si>
  <si>
    <t>No Health Insurance; At Annual Assessment for Stayers</t>
  </si>
  <si>
    <t>No Health Insurance; At Exit for Leavers</t>
  </si>
  <si>
    <t>Number of stayers not yet required to have an annual assessment</t>
  </si>
  <si>
    <t>30 Days or Less; Leavers</t>
  </si>
  <si>
    <t>31-60 Days; Leavers</t>
  </si>
  <si>
    <t>61-90 Days; Leavers</t>
  </si>
  <si>
    <t>91-180 Days; Leavers</t>
  </si>
  <si>
    <t>Average and Median Length of Participation in Days (22b)</t>
  </si>
  <si>
    <t>Average Length; Leavers</t>
  </si>
  <si>
    <t>Length of Time between Project Start Date and Housing Move-in Date (22c)</t>
  </si>
  <si>
    <t>Average length of time to housing; Total</t>
  </si>
  <si>
    <t>Age of Youth (27a)</t>
  </si>
  <si>
    <t>18-24; Without Children</t>
  </si>
  <si>
    <t>Parenting Youth (27b)</t>
  </si>
  <si>
    <t>Parenting youth 18 to 24; Total Parenting Youth</t>
  </si>
  <si>
    <t>Temporary Destinations &gt; Emergency shelter, including hotel or motel paid for with emergency shelter voucher; Total</t>
  </si>
  <si>
    <t>Permanent Destinations &gt; Subtotal; Total</t>
  </si>
  <si>
    <t>Institutional Destinations &gt; Subtotal; Total</t>
  </si>
  <si>
    <t>Temporary Destinations &gt; Subtotal; Total</t>
  </si>
  <si>
    <t>Temporary Destinations &gt; Moved from one HOPWA funded project to HOPWA TH; Total</t>
  </si>
  <si>
    <t>Temporary Destinations &gt; Transitional housing for homeless persons (including homeless youth); Total</t>
  </si>
  <si>
    <t>Temporary Destinations &gt; Place not meant for habitation; Total</t>
  </si>
  <si>
    <t>Temporary Destinations &gt; Safe Haven; Total</t>
  </si>
  <si>
    <t>Other Destinations &gt; Subtotal; Total</t>
  </si>
  <si>
    <t>Other Destinations &gt; Other; Total</t>
  </si>
  <si>
    <t>Other Destinations &gt; Client Doesn’t Know/Client Refused; Total</t>
  </si>
  <si>
    <t>Other Destinations &gt; Data Not Collected (no exit interview completed); Total</t>
  </si>
  <si>
    <t>Input Tab Information</t>
  </si>
  <si>
    <t>APR Data</t>
  </si>
  <si>
    <t>Information entered in APR Data above</t>
  </si>
  <si>
    <t>Scored Criteria</t>
  </si>
  <si>
    <t>Calculated Metrics</t>
  </si>
  <si>
    <t xml:space="preserve">Average Program Stay for Leavers is less than 180 Days </t>
  </si>
  <si>
    <t>Average Length of Time to Housing is less than 30 Days</t>
  </si>
  <si>
    <t>Other Destinations &gt; Deceased; Total</t>
  </si>
  <si>
    <t>Sum of Leaver Length of Participation Counts from 0-180 Days</t>
  </si>
  <si>
    <t>Returns to Homelessness or Unknown</t>
  </si>
  <si>
    <t>Total Number of Youth Under Age 25 (5a.12)</t>
  </si>
  <si>
    <t>Number of Adult Stayers (5a.9)</t>
  </si>
  <si>
    <t>Number of Adult Leavers (5a.6)</t>
  </si>
  <si>
    <t>Total Number of Leavers (5a.5)</t>
  </si>
  <si>
    <t>Number of Persons with Unknown Age (5a.4)</t>
  </si>
  <si>
    <t>Number of Children (under age 18) (5a.3)</t>
  </si>
  <si>
    <t>Number of Adults (age 18 or over) (5a.2)</t>
  </si>
  <si>
    <t>Total Number of Persons Served  (5a.1)</t>
  </si>
  <si>
    <t>Total Leavers + Total Stayers - Stayers not yet required to have an annual assessment</t>
  </si>
  <si>
    <t>Number of Adults who Gained or Increased Income</t>
  </si>
  <si>
    <t>Number of Adults who increased income from Start to Annual + Number of Adults who increased income from Start to Exit</t>
  </si>
  <si>
    <t>Number of Adults who Gained or Increased Income / Total Adults with Valid Data</t>
  </si>
  <si>
    <t>Number of Stayers with +1 Source at latest annual + Number of Leavers with +1 Source at exit</t>
  </si>
  <si>
    <t>Total Adult Leavers + Total Adult Stayers - Adult Stayers not yet required to have an annual assessment</t>
  </si>
  <si>
    <t>Number of Persons without Health Insurance</t>
  </si>
  <si>
    <t xml:space="preserve">Percentage of Persons obtaining or retaining health insurance from entry to program exit </t>
  </si>
  <si>
    <t>Number of Persons with Health Insurance</t>
  </si>
  <si>
    <t>Total Persons with Valid Data - Total Persons without Health Insurance</t>
  </si>
  <si>
    <t>Total Persons with Valid Data</t>
  </si>
  <si>
    <t>Number of Stayers with No Health Insurance at Annual + Number of Leavers with No Health Insurance at Exit</t>
  </si>
  <si>
    <t>Number of Persons with Health Insurance / Total Persons with Valid Data</t>
  </si>
  <si>
    <t>Number of Adults with 1+ Non-Cash Benefit / Total Adults with Valid Data</t>
  </si>
  <si>
    <t>Number of Adults with 1+ Non-Cash Benefit</t>
  </si>
  <si>
    <t>Note: Only Adult Stayers and Leavers are reported on section 20b of the APR</t>
  </si>
  <si>
    <t>Other Destinations (Non-Exceptions)</t>
  </si>
  <si>
    <t>Other + Client Doesn't Know + Client Refused + Data Not Collected</t>
  </si>
  <si>
    <t>Temporary Destinations (Non-Exceptions)</t>
  </si>
  <si>
    <t>Emergency Shelter + From HOPWA to HOPWA TH + Transitional Housing + Place not meant for habitation + Safe Haven</t>
  </si>
  <si>
    <t>Temporary Destination Non-Exceptions + Other Destination Non-Exceptions</t>
  </si>
  <si>
    <r>
      <t xml:space="preserve">Total Number of Leavers </t>
    </r>
    <r>
      <rPr>
        <i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Deceased and Institutional</t>
    </r>
  </si>
  <si>
    <t>Total Leavers - Exits to Deceased - Exits to Institutional</t>
  </si>
  <si>
    <t>Exits to Permanent Destinations / Leavers less Deceased and Institutional</t>
  </si>
  <si>
    <t xml:space="preserve">% of Persons who Remained in PH or Exited to a Permanent Destination (PSH or RRH Only) </t>
  </si>
  <si>
    <t>Persons retained in PH or exited for Permanent destinations</t>
  </si>
  <si>
    <t>Total Stayers + Permanent Destination subtotal</t>
  </si>
  <si>
    <t>Other Destinations &gt; Residential project or halfway house with no homeless criteria; Total</t>
  </si>
  <si>
    <r>
      <t xml:space="preserve">Persons served </t>
    </r>
    <r>
      <rPr>
        <i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exit exceptions</t>
    </r>
  </si>
  <si>
    <t>Total Persons Served - Exits to Institutional - Exits to Residential project - Deceased</t>
  </si>
  <si>
    <t>Persons retained or exited to Permanent destinations / Persons served less exceptions</t>
  </si>
  <si>
    <t>Average of all 4 Point-in-Time Count of Persons</t>
  </si>
  <si>
    <t>Average of all 4 Point-in-Time Count of Households</t>
  </si>
  <si>
    <t>Equals Average Occupancy by Person, unless Input tab says "Yes" to Calcuate Occupancy by Units</t>
  </si>
  <si>
    <t>Average number of persons served / Total year round beds</t>
  </si>
  <si>
    <t>Average number of households served / Total year round units (Uses GIW units for RRH)</t>
  </si>
  <si>
    <t>Input Data</t>
  </si>
  <si>
    <t>Auto-populates from Input tab</t>
  </si>
  <si>
    <t>HMIS corrective actions required?</t>
  </si>
  <si>
    <t>HMIS Audit Initial Score</t>
  </si>
  <si>
    <t>CoC APR Error Rate at or below 5% (Excluding SSN)</t>
  </si>
  <si>
    <t>Drawdown Rates at least once per quarter</t>
  </si>
  <si>
    <t>TRUE if agency did not pass the initial HMIS Audit</t>
  </si>
  <si>
    <t>If corrective action was required, did agency complete and pass HMIS Re-Evaluation?</t>
  </si>
  <si>
    <t>If Yes, TRUE</t>
  </si>
  <si>
    <t>Adults with No Income; Number of Adults at Start</t>
  </si>
  <si>
    <t>Count of Special Populations greater than 10%</t>
  </si>
  <si>
    <t>5 Bonus Points per "Special Population" served; 10 points maximum</t>
  </si>
  <si>
    <t>Total Persons with 2 Conditions at Start + Total Persons with 3+ Conditions at Start</t>
  </si>
  <si>
    <t>Number of Youth under age 25 / Number of Adults</t>
  </si>
  <si>
    <t>Total persons with HIV / Number of Persons</t>
  </si>
  <si>
    <t>Total persons fleeing DV / Number of Persons</t>
  </si>
  <si>
    <t>Total HH with children / Total HH</t>
  </si>
  <si>
    <t>Chronically Homeless persons / Number of Persons</t>
  </si>
  <si>
    <t>Number of Veterans / Number of Adults</t>
  </si>
  <si>
    <t>Adults with No Income at Start / Number of Adults</t>
  </si>
  <si>
    <t>Total Number of Multiple Conditions at Start</t>
  </si>
  <si>
    <t>Total Multiple Conditions at Start / Number of Persons</t>
  </si>
  <si>
    <t>Count of the above 8 rows with values equal or above 10%</t>
  </si>
  <si>
    <t>END</t>
  </si>
  <si>
    <t>Total Max</t>
  </si>
  <si>
    <t>Total Awarded</t>
  </si>
  <si>
    <t>Program had conditions on previous scorecard</t>
  </si>
  <si>
    <t>Previous conditions have been satisfied</t>
  </si>
  <si>
    <t>TRUE if agency had conditions on previous scorecard</t>
  </si>
  <si>
    <t>Agency failed most recent HMIS Audit</t>
  </si>
  <si>
    <t>Previous conditions to be resolved</t>
  </si>
  <si>
    <t>Agency deobligated greater than 10% of awarded funds</t>
  </si>
  <si>
    <t>Agency did not perform necessary quarterly draw-downs</t>
  </si>
  <si>
    <t>TRUE if agency did not meet deobligation requirements</t>
  </si>
  <si>
    <t>TRUE if agency did not meet drawdown requirements</t>
  </si>
  <si>
    <t>TRUE if agency fails any above Program Administration item(s)</t>
  </si>
  <si>
    <t>Previous conditions were resolved</t>
  </si>
  <si>
    <t>TRUE if agency resolved conditions from previous scorecard</t>
  </si>
  <si>
    <t>Program has no unresolved items from previous Scorecards</t>
  </si>
  <si>
    <t>Program has no items that will impose future Conditional Status</t>
  </si>
  <si>
    <t>Utilization &amp; Administration Comments</t>
  </si>
  <si>
    <t>Conditions &amp; Bonus Points Comments</t>
  </si>
  <si>
    <t>LoS, Exits, &amp; Returns Comments</t>
  </si>
  <si>
    <t>Determination from information above</t>
  </si>
  <si>
    <t>Determination from information above (Only if persons served is greater than 0)</t>
  </si>
  <si>
    <t>Returns to Homelessness or Unknown / Total Number of Leavers less Deceased (Only if persons served is greater than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</si>
</sst>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6" xfId="0" applyFill="1" applyBorder="1" applyAlignment="1"/>
    <xf numFmtId="0" fontId="1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7" borderId="7" xfId="1" applyNumberFormat="1" applyFont="1" applyFill="1" applyBorder="1" applyAlignment="1">
      <alignment horizontal="center" vertical="center"/>
    </xf>
    <xf numFmtId="164" fontId="0" fillId="7" borderId="8" xfId="1" applyNumberFormat="1" applyFont="1" applyFill="1" applyBorder="1" applyAlignment="1">
      <alignment horizontal="center" vertical="center"/>
    </xf>
    <xf numFmtId="164" fontId="0" fillId="7" borderId="6" xfId="1" applyNumberFormat="1" applyFont="1" applyFill="1" applyBorder="1" applyAlignment="1">
      <alignment horizontal="left" vertical="center"/>
    </xf>
    <xf numFmtId="9" fontId="0" fillId="0" borderId="7" xfId="1" applyNumberFormat="1" applyFont="1" applyBorder="1" applyAlignment="1" applyProtection="1">
      <alignment horizontal="center"/>
      <protection locked="0"/>
    </xf>
    <xf numFmtId="9" fontId="0" fillId="0" borderId="0" xfId="1" applyFont="1" applyBorder="1" applyAlignment="1" applyProtection="1">
      <alignment horizontal="center"/>
      <protection locked="0"/>
    </xf>
    <xf numFmtId="164" fontId="0" fillId="7" borderId="0" xfId="1" applyNumberFormat="1" applyFont="1" applyFill="1" applyBorder="1" applyAlignment="1" applyProtection="1">
      <alignment horizontal="center" vertical="center"/>
      <protection locked="0"/>
    </xf>
    <xf numFmtId="164" fontId="0" fillId="7" borderId="5" xfId="1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protection locked="0"/>
    </xf>
    <xf numFmtId="0" fontId="0" fillId="6" borderId="7" xfId="0" applyFill="1" applyBorder="1" applyAlignment="1" applyProtection="1">
      <protection locked="0"/>
    </xf>
    <xf numFmtId="164" fontId="0" fillId="7" borderId="7" xfId="1" applyNumberFormat="1" applyFont="1" applyFill="1" applyBorder="1" applyAlignment="1" applyProtection="1">
      <alignment horizontal="center" vertical="center"/>
      <protection locked="0"/>
    </xf>
    <xf numFmtId="164" fontId="0" fillId="7" borderId="8" xfId="1" applyNumberFormat="1" applyFont="1" applyFill="1" applyBorder="1" applyAlignment="1" applyProtection="1">
      <alignment horizontal="center" vertical="center"/>
      <protection locked="0"/>
    </xf>
    <xf numFmtId="9" fontId="0" fillId="0" borderId="7" xfId="1" applyFont="1" applyBorder="1" applyAlignment="1" applyProtection="1">
      <alignment horizontal="center"/>
      <protection locked="0"/>
    </xf>
    <xf numFmtId="0" fontId="0" fillId="10" borderId="0" xfId="0" applyFill="1" applyAlignment="1">
      <alignment vertical="center"/>
    </xf>
    <xf numFmtId="0" fontId="0" fillId="0" borderId="4" xfId="0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9" borderId="0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8" borderId="4" xfId="0" applyFill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8" borderId="4" xfId="0" applyFill="1" applyBorder="1" applyAlignment="1" applyProtection="1">
      <alignment vertical="center" wrapText="1"/>
    </xf>
    <xf numFmtId="0" fontId="0" fillId="8" borderId="6" xfId="0" applyFill="1" applyBorder="1" applyAlignment="1" applyProtection="1">
      <alignment vertical="center" wrapText="1"/>
    </xf>
    <xf numFmtId="0" fontId="0" fillId="8" borderId="8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 wrapText="1"/>
    </xf>
    <xf numFmtId="164" fontId="0" fillId="8" borderId="5" xfId="1" applyNumberFormat="1" applyFont="1" applyFill="1" applyBorder="1" applyAlignment="1" applyProtection="1">
      <alignment horizontal="center" vertical="center"/>
    </xf>
    <xf numFmtId="164" fontId="0" fillId="0" borderId="8" xfId="1" applyNumberFormat="1" applyFont="1" applyBorder="1" applyAlignment="1" applyProtection="1">
      <alignment horizontal="center" vertical="center"/>
    </xf>
    <xf numFmtId="9" fontId="0" fillId="8" borderId="5" xfId="0" applyNumberFormat="1" applyFill="1" applyBorder="1" applyAlignment="1" applyProtection="1">
      <alignment horizontal="center" vertical="center"/>
    </xf>
    <xf numFmtId="9" fontId="0" fillId="0" borderId="5" xfId="0" applyNumberForma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vertical="center"/>
    </xf>
    <xf numFmtId="0" fontId="0" fillId="8" borderId="8" xfId="0" applyFill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1" fillId="0" borderId="10" xfId="0" applyFont="1" applyBorder="1" applyProtection="1"/>
    <xf numFmtId="0" fontId="0" fillId="0" borderId="10" xfId="0" applyBorder="1" applyProtection="1"/>
    <xf numFmtId="9" fontId="0" fillId="8" borderId="5" xfId="1" applyNumberFormat="1" applyFont="1" applyFill="1" applyBorder="1" applyAlignment="1" applyProtection="1">
      <alignment horizontal="center" vertical="center"/>
    </xf>
    <xf numFmtId="9" fontId="0" fillId="0" borderId="5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64" fontId="0" fillId="0" borderId="5" xfId="1" applyNumberFormat="1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Alignment="1" applyProtection="1">
      <alignment vertical="center" wrapText="1"/>
    </xf>
    <xf numFmtId="0" fontId="0" fillId="11" borderId="0" xfId="0" applyFill="1" applyAlignment="1" applyProtection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11" borderId="0" xfId="0" applyFill="1" applyProtection="1"/>
    <xf numFmtId="0" fontId="0" fillId="0" borderId="6" xfId="0" applyFill="1" applyBorder="1" applyAlignment="1" applyProtection="1">
      <alignment vertical="center" wrapText="1"/>
    </xf>
    <xf numFmtId="9" fontId="0" fillId="0" borderId="0" xfId="1" applyFont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9" fontId="0" fillId="11" borderId="0" xfId="0" applyNumberFormat="1" applyFill="1" applyAlignment="1" applyProtection="1">
      <alignment vertical="center"/>
    </xf>
    <xf numFmtId="9" fontId="0" fillId="11" borderId="0" xfId="1" applyFont="1" applyFill="1" applyProtection="1"/>
    <xf numFmtId="9" fontId="0" fillId="0" borderId="0" xfId="0" applyNumberFormat="1" applyFill="1" applyAlignment="1" applyProtection="1">
      <alignment vertical="center"/>
    </xf>
    <xf numFmtId="9" fontId="0" fillId="0" borderId="0" xfId="1" applyFont="1" applyFill="1" applyProtection="1"/>
    <xf numFmtId="0" fontId="0" fillId="11" borderId="0" xfId="0" applyFill="1" applyAlignment="1" applyProtection="1">
      <alignment vertical="center"/>
    </xf>
    <xf numFmtId="0" fontId="9" fillId="0" borderId="4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1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8" borderId="6" xfId="0" applyFont="1" applyFill="1" applyBorder="1" applyAlignment="1" applyProtection="1">
      <alignment vertical="center" wrapText="1"/>
    </xf>
    <xf numFmtId="9" fontId="0" fillId="11" borderId="0" xfId="1" applyFont="1" applyFill="1" applyAlignment="1" applyProtection="1"/>
    <xf numFmtId="9" fontId="0" fillId="0" borderId="5" xfId="1" applyFont="1" applyBorder="1" applyAlignment="1" applyProtection="1">
      <alignment horizontal="center" vertical="center"/>
    </xf>
    <xf numFmtId="9" fontId="0" fillId="8" borderId="5" xfId="1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1" fillId="8" borderId="6" xfId="0" applyFont="1" applyFill="1" applyBorder="1" applyAlignment="1" applyProtection="1">
      <alignment horizontal="right" vertical="center"/>
    </xf>
    <xf numFmtId="0" fontId="0" fillId="12" borderId="0" xfId="0" applyFill="1" applyAlignment="1" applyProtection="1">
      <alignment vertical="center"/>
      <protection locked="0"/>
    </xf>
    <xf numFmtId="0" fontId="1" fillId="8" borderId="5" xfId="0" applyFont="1" applyFill="1" applyBorder="1" applyAlignment="1" applyProtection="1">
      <alignment horizontal="center" vertical="center"/>
    </xf>
    <xf numFmtId="0" fontId="2" fillId="10" borderId="0" xfId="0" applyFont="1" applyFill="1" applyAlignment="1" applyProtection="1">
      <alignment horizontal="center" vertical="center" wrapText="1"/>
    </xf>
    <xf numFmtId="0" fontId="0" fillId="11" borderId="0" xfId="1" applyNumberFormat="1" applyFont="1" applyFill="1" applyAlignment="1" applyProtection="1"/>
    <xf numFmtId="9" fontId="0" fillId="11" borderId="0" xfId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9" fontId="0" fillId="0" borderId="0" xfId="1" applyFont="1" applyBorder="1" applyAlignment="1" applyProtection="1">
      <alignment horizontal="center" vertical="center"/>
      <protection locked="0"/>
    </xf>
    <xf numFmtId="9" fontId="0" fillId="11" borderId="0" xfId="1" applyFont="1" applyFill="1" applyAlignment="1" applyProtection="1">
      <alignment horizontal="right" vertical="center"/>
    </xf>
    <xf numFmtId="0" fontId="0" fillId="11" borderId="0" xfId="1" applyNumberFormat="1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right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2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strike/>
        <color theme="0" tint="-0.1499679555650502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7009C9-9053-4CC8-9098-D5AE922D64E8}" name="Table1" displayName="Table1" ref="A1:B4" totalsRowShown="0">
  <autoFilter ref="A1:B4" xr:uid="{63550536-47BC-4EDB-9144-6E01056596EE}"/>
  <tableColumns count="2">
    <tableColumn id="1" xr3:uid="{D7879199-4987-4085-96CC-1F7726F9B4A2}" name="Project Type"/>
    <tableColumn id="2" xr3:uid="{99C3F755-D123-4747-A521-540B8CF1C3D1}" name="Project Type Acronym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AD3-2B56-46DE-A6ED-1B046467FCBB}">
  <dimension ref="A2:H32"/>
  <sheetViews>
    <sheetView workbookViewId="0">
      <selection activeCell="E32" sqref="E32"/>
    </sheetView>
  </sheetViews>
  <sheetFormatPr defaultRowHeight="14.4" x14ac:dyDescent="0.3"/>
  <cols>
    <col min="1" max="1" width="2.6640625" style="1" customWidth="1"/>
    <col min="2" max="2" width="86.6640625" style="18" bestFit="1" customWidth="1"/>
    <col min="3" max="5" width="15.6640625" style="2" customWidth="1"/>
    <col min="6" max="8" width="15.6640625" style="2" hidden="1" customWidth="1"/>
  </cols>
  <sheetData>
    <row r="2" spans="2:8" hidden="1" x14ac:dyDescent="0.3">
      <c r="B2" s="136" t="s">
        <v>234</v>
      </c>
      <c r="C2" s="137"/>
      <c r="D2" s="137"/>
      <c r="E2" s="137"/>
      <c r="F2" s="137"/>
      <c r="G2" s="137"/>
      <c r="H2" s="138"/>
    </row>
    <row r="3" spans="2:8" hidden="1" x14ac:dyDescent="0.3">
      <c r="B3" s="20" t="s">
        <v>233</v>
      </c>
      <c r="C3" s="13" t="s">
        <v>228</v>
      </c>
      <c r="D3" s="13" t="s">
        <v>229</v>
      </c>
      <c r="E3" s="13" t="s">
        <v>227</v>
      </c>
      <c r="F3" s="13" t="s">
        <v>231</v>
      </c>
      <c r="G3" s="13" t="s">
        <v>232</v>
      </c>
      <c r="H3" s="14" t="s">
        <v>230</v>
      </c>
    </row>
    <row r="4" spans="2:8" hidden="1" x14ac:dyDescent="0.3">
      <c r="B4" s="21" t="s">
        <v>164</v>
      </c>
      <c r="C4" s="32">
        <v>0.08</v>
      </c>
      <c r="D4" s="32">
        <v>0.05</v>
      </c>
      <c r="E4" s="32">
        <v>0.14000000000000001</v>
      </c>
      <c r="F4" s="38" t="s">
        <v>304</v>
      </c>
      <c r="G4" s="38" t="s">
        <v>304</v>
      </c>
      <c r="H4" s="39" t="s">
        <v>304</v>
      </c>
    </row>
    <row r="6" spans="2:8" x14ac:dyDescent="0.3">
      <c r="B6" s="136" t="s">
        <v>393</v>
      </c>
      <c r="C6" s="137"/>
      <c r="D6" s="137"/>
      <c r="E6" s="137"/>
      <c r="F6" s="137"/>
      <c r="G6" s="137"/>
      <c r="H6" s="138"/>
    </row>
    <row r="7" spans="2:8" x14ac:dyDescent="0.3">
      <c r="B7" s="20" t="s">
        <v>233</v>
      </c>
      <c r="C7" s="13" t="s">
        <v>228</v>
      </c>
      <c r="D7" s="13" t="s">
        <v>229</v>
      </c>
      <c r="E7" s="13" t="s">
        <v>227</v>
      </c>
      <c r="F7" s="13" t="s">
        <v>231</v>
      </c>
      <c r="G7" s="13" t="s">
        <v>232</v>
      </c>
      <c r="H7" s="14" t="s">
        <v>230</v>
      </c>
    </row>
    <row r="8" spans="2:8" hidden="1" x14ac:dyDescent="0.3">
      <c r="B8" s="22" t="s">
        <v>289</v>
      </c>
      <c r="C8" s="33">
        <v>0.53</v>
      </c>
      <c r="D8" s="33">
        <v>0.13</v>
      </c>
      <c r="E8" s="33">
        <v>0.5</v>
      </c>
      <c r="F8" s="34" t="s">
        <v>304</v>
      </c>
      <c r="G8" s="34" t="s">
        <v>304</v>
      </c>
      <c r="H8" s="35" t="s">
        <v>304</v>
      </c>
    </row>
    <row r="9" spans="2:8" hidden="1" x14ac:dyDescent="0.3">
      <c r="B9" s="22" t="s">
        <v>175</v>
      </c>
      <c r="C9" s="33">
        <v>0.36</v>
      </c>
      <c r="D9" s="33">
        <v>0.67</v>
      </c>
      <c r="E9" s="33">
        <v>0.28999999999999998</v>
      </c>
      <c r="F9" s="34" t="s">
        <v>304</v>
      </c>
      <c r="G9" s="34" t="s">
        <v>304</v>
      </c>
      <c r="H9" s="35" t="s">
        <v>304</v>
      </c>
    </row>
    <row r="10" spans="2:8" hidden="1" x14ac:dyDescent="0.3">
      <c r="B10" s="22" t="s">
        <v>290</v>
      </c>
      <c r="C10" s="33">
        <v>0.69</v>
      </c>
      <c r="D10" s="33">
        <v>0.73</v>
      </c>
      <c r="E10" s="33">
        <v>0.76</v>
      </c>
      <c r="F10" s="34" t="s">
        <v>304</v>
      </c>
      <c r="G10" s="34" t="s">
        <v>304</v>
      </c>
      <c r="H10" s="35" t="s">
        <v>304</v>
      </c>
    </row>
    <row r="11" spans="2:8" x14ac:dyDescent="0.3">
      <c r="B11" s="22" t="s">
        <v>238</v>
      </c>
      <c r="C11" s="33">
        <v>0.85</v>
      </c>
      <c r="D11" s="33">
        <v>0.68</v>
      </c>
      <c r="E11" s="33">
        <v>0.66</v>
      </c>
      <c r="F11" s="34" t="s">
        <v>304</v>
      </c>
      <c r="G11" s="34" t="s">
        <v>304</v>
      </c>
      <c r="H11" s="35" t="s">
        <v>304</v>
      </c>
    </row>
    <row r="12" spans="2:8" hidden="1" x14ac:dyDescent="0.3">
      <c r="B12" s="16" t="s">
        <v>291</v>
      </c>
      <c r="C12" s="36"/>
      <c r="D12" s="36"/>
      <c r="E12" s="36"/>
      <c r="F12" s="34" t="s">
        <v>304</v>
      </c>
      <c r="G12" s="34" t="s">
        <v>304</v>
      </c>
      <c r="H12" s="35" t="s">
        <v>304</v>
      </c>
    </row>
    <row r="13" spans="2:8" hidden="1" x14ac:dyDescent="0.3">
      <c r="B13" s="16" t="s">
        <v>235</v>
      </c>
      <c r="C13" s="36"/>
      <c r="D13" s="36"/>
      <c r="E13" s="36"/>
      <c r="F13" s="34" t="s">
        <v>304</v>
      </c>
      <c r="G13" s="34" t="s">
        <v>304</v>
      </c>
      <c r="H13" s="35" t="s">
        <v>304</v>
      </c>
    </row>
    <row r="14" spans="2:8" hidden="1" x14ac:dyDescent="0.3">
      <c r="B14" s="16" t="s">
        <v>236</v>
      </c>
      <c r="C14" s="36"/>
      <c r="D14" s="36"/>
      <c r="E14" s="36"/>
      <c r="F14" s="34" t="s">
        <v>304</v>
      </c>
      <c r="G14" s="34" t="s">
        <v>304</v>
      </c>
      <c r="H14" s="35" t="s">
        <v>304</v>
      </c>
    </row>
    <row r="15" spans="2:8" hidden="1" x14ac:dyDescent="0.3">
      <c r="B15" s="17" t="s">
        <v>237</v>
      </c>
      <c r="C15" s="37"/>
      <c r="D15" s="37"/>
      <c r="E15" s="37"/>
      <c r="F15" s="38" t="s">
        <v>304</v>
      </c>
      <c r="G15" s="38" t="s">
        <v>304</v>
      </c>
      <c r="H15" s="39" t="s">
        <v>304</v>
      </c>
    </row>
    <row r="17" spans="2:8" hidden="1" x14ac:dyDescent="0.3">
      <c r="B17" s="136" t="s">
        <v>239</v>
      </c>
      <c r="C17" s="137"/>
      <c r="D17" s="137"/>
      <c r="E17" s="137"/>
      <c r="F17" s="137"/>
      <c r="G17" s="137"/>
      <c r="H17" s="138"/>
    </row>
    <row r="18" spans="2:8" hidden="1" x14ac:dyDescent="0.3">
      <c r="B18" s="20" t="s">
        <v>233</v>
      </c>
      <c r="C18" s="13" t="s">
        <v>228</v>
      </c>
      <c r="D18" s="13" t="s">
        <v>229</v>
      </c>
      <c r="E18" s="13" t="s">
        <v>227</v>
      </c>
      <c r="F18" s="13" t="s">
        <v>231</v>
      </c>
      <c r="G18" s="13" t="s">
        <v>232</v>
      </c>
      <c r="H18" s="14" t="s">
        <v>230</v>
      </c>
    </row>
    <row r="19" spans="2:8" hidden="1" x14ac:dyDescent="0.3">
      <c r="B19" s="22" t="s">
        <v>184</v>
      </c>
      <c r="C19" s="33">
        <v>0.88</v>
      </c>
      <c r="D19" s="33">
        <v>0.89</v>
      </c>
      <c r="E19" s="33">
        <v>0.86</v>
      </c>
      <c r="F19" s="34" t="s">
        <v>304</v>
      </c>
      <c r="G19" s="34" t="s">
        <v>304</v>
      </c>
      <c r="H19" s="35" t="s">
        <v>304</v>
      </c>
    </row>
    <row r="20" spans="2:8" hidden="1" x14ac:dyDescent="0.3">
      <c r="B20" s="21" t="s">
        <v>204</v>
      </c>
      <c r="C20" s="40">
        <v>0.23</v>
      </c>
      <c r="D20" s="40">
        <v>0.1</v>
      </c>
      <c r="E20" s="40">
        <v>0.2</v>
      </c>
      <c r="F20" s="38" t="s">
        <v>304</v>
      </c>
      <c r="G20" s="38" t="s">
        <v>304</v>
      </c>
      <c r="H20" s="39" t="s">
        <v>304</v>
      </c>
    </row>
    <row r="22" spans="2:8" hidden="1" x14ac:dyDescent="0.3">
      <c r="B22" s="136" t="s">
        <v>240</v>
      </c>
      <c r="C22" s="137"/>
      <c r="D22" s="137"/>
      <c r="E22" s="137"/>
      <c r="F22" s="137"/>
      <c r="G22" s="137"/>
      <c r="H22" s="138"/>
    </row>
    <row r="23" spans="2:8" hidden="1" x14ac:dyDescent="0.3">
      <c r="B23" s="20" t="s">
        <v>233</v>
      </c>
      <c r="C23" s="13" t="s">
        <v>228</v>
      </c>
      <c r="D23" s="13" t="s">
        <v>229</v>
      </c>
      <c r="E23" s="13" t="s">
        <v>227</v>
      </c>
      <c r="F23" s="13" t="s">
        <v>231</v>
      </c>
      <c r="G23" s="13" t="s">
        <v>232</v>
      </c>
      <c r="H23" s="14" t="s">
        <v>230</v>
      </c>
    </row>
    <row r="24" spans="2:8" hidden="1" x14ac:dyDescent="0.3">
      <c r="B24" s="25" t="s">
        <v>292</v>
      </c>
      <c r="C24" s="40">
        <v>0.95</v>
      </c>
      <c r="D24" s="40">
        <v>0.91</v>
      </c>
      <c r="E24" s="40">
        <v>0.81</v>
      </c>
      <c r="F24" s="38" t="s">
        <v>304</v>
      </c>
      <c r="G24" s="38" t="s">
        <v>304</v>
      </c>
      <c r="H24" s="39" t="s">
        <v>304</v>
      </c>
    </row>
    <row r="26" spans="2:8" hidden="1" x14ac:dyDescent="0.3">
      <c r="B26" s="136" t="s">
        <v>271</v>
      </c>
      <c r="C26" s="137"/>
      <c r="D26" s="137"/>
      <c r="E26" s="138"/>
      <c r="F26"/>
      <c r="G26"/>
      <c r="H26"/>
    </row>
    <row r="27" spans="2:8" hidden="1" x14ac:dyDescent="0.3">
      <c r="B27" s="20" t="s">
        <v>233</v>
      </c>
      <c r="C27" s="13" t="s">
        <v>228</v>
      </c>
      <c r="D27" s="13" t="s">
        <v>229</v>
      </c>
      <c r="E27" s="14" t="s">
        <v>227</v>
      </c>
      <c r="F27"/>
      <c r="G27"/>
      <c r="H27"/>
    </row>
    <row r="28" spans="2:8" hidden="1" x14ac:dyDescent="0.3">
      <c r="B28" s="31" t="s">
        <v>304</v>
      </c>
      <c r="C28" s="29" t="s">
        <v>304</v>
      </c>
      <c r="D28" s="29" t="s">
        <v>304</v>
      </c>
      <c r="E28" s="30" t="s">
        <v>304</v>
      </c>
      <c r="F28"/>
      <c r="G28"/>
      <c r="H28"/>
    </row>
    <row r="30" spans="2:8" x14ac:dyDescent="0.3">
      <c r="B30" s="136" t="s">
        <v>392</v>
      </c>
      <c r="C30" s="137"/>
      <c r="D30" s="137"/>
      <c r="E30" s="137"/>
      <c r="F30" s="137"/>
      <c r="G30" s="137"/>
      <c r="H30" s="138"/>
    </row>
    <row r="31" spans="2:8" x14ac:dyDescent="0.3">
      <c r="B31" s="20" t="s">
        <v>233</v>
      </c>
      <c r="C31" s="13" t="s">
        <v>228</v>
      </c>
      <c r="D31" s="13" t="s">
        <v>229</v>
      </c>
      <c r="E31" s="13" t="s">
        <v>227</v>
      </c>
      <c r="F31" s="13" t="s">
        <v>231</v>
      </c>
      <c r="G31" s="13" t="s">
        <v>232</v>
      </c>
      <c r="H31" s="14" t="s">
        <v>230</v>
      </c>
    </row>
    <row r="32" spans="2:8" x14ac:dyDescent="0.3">
      <c r="B32" s="22" t="s">
        <v>394</v>
      </c>
      <c r="C32" s="92">
        <v>0.9</v>
      </c>
      <c r="D32" s="92">
        <v>0.82</v>
      </c>
      <c r="E32" s="92">
        <v>0.57999999999999996</v>
      </c>
    </row>
  </sheetData>
  <sheetProtection selectLockedCells="1"/>
  <mergeCells count="6">
    <mergeCell ref="B30:H30"/>
    <mergeCell ref="B26:E26"/>
    <mergeCell ref="B2:H2"/>
    <mergeCell ref="B6:H6"/>
    <mergeCell ref="B17:H17"/>
    <mergeCell ref="B22:H2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2A96-D047-40C0-B312-611B0E4F959C}">
  <dimension ref="A1:F2"/>
  <sheetViews>
    <sheetView workbookViewId="0"/>
  </sheetViews>
  <sheetFormatPr defaultRowHeight="14.4" x14ac:dyDescent="0.3"/>
  <cols>
    <col min="1" max="1" width="18.3320312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E520-D298-4091-A487-7E1CA594A559}">
  <dimension ref="A1:F5"/>
  <sheetViews>
    <sheetView workbookViewId="0"/>
  </sheetViews>
  <sheetFormatPr defaultRowHeight="14.4" x14ac:dyDescent="0.3"/>
  <cols>
    <col min="1" max="1" width="9.8867187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30</v>
      </c>
    </row>
    <row r="3" spans="1:6" x14ac:dyDescent="0.3">
      <c r="A3" t="s">
        <v>31</v>
      </c>
    </row>
    <row r="4" spans="1:6" x14ac:dyDescent="0.3">
      <c r="A4" t="s">
        <v>32</v>
      </c>
    </row>
    <row r="5" spans="1:6" x14ac:dyDescent="0.3">
      <c r="A5" t="s">
        <v>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1730-6451-4851-99BE-CD5E91BE7FF6}">
  <dimension ref="A1:F9"/>
  <sheetViews>
    <sheetView workbookViewId="0"/>
  </sheetViews>
  <sheetFormatPr defaultRowHeight="14.4" x14ac:dyDescent="0.3"/>
  <cols>
    <col min="1" max="1" width="28.8867187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35</v>
      </c>
    </row>
    <row r="3" spans="1:6" x14ac:dyDescent="0.3">
      <c r="A3" t="s">
        <v>36</v>
      </c>
    </row>
    <row r="4" spans="1:6" x14ac:dyDescent="0.3">
      <c r="A4" t="s">
        <v>37</v>
      </c>
    </row>
    <row r="5" spans="1:6" x14ac:dyDescent="0.3">
      <c r="A5" t="s">
        <v>38</v>
      </c>
    </row>
    <row r="6" spans="1:6" x14ac:dyDescent="0.3">
      <c r="A6" t="s">
        <v>39</v>
      </c>
    </row>
    <row r="7" spans="1:6" x14ac:dyDescent="0.3">
      <c r="A7" t="s">
        <v>40</v>
      </c>
    </row>
    <row r="8" spans="1:6" x14ac:dyDescent="0.3">
      <c r="A8" t="s">
        <v>41</v>
      </c>
    </row>
    <row r="9" spans="1:6" x14ac:dyDescent="0.3">
      <c r="A9" t="s">
        <v>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D961-67F2-4AA6-97E2-2C648D5D11A7}">
  <dimension ref="A1:F9"/>
  <sheetViews>
    <sheetView workbookViewId="0">
      <selection activeCell="B2" sqref="B2:F9"/>
    </sheetView>
  </sheetViews>
  <sheetFormatPr defaultRowHeight="14.4" x14ac:dyDescent="0.3"/>
  <cols>
    <col min="1" max="1" width="35.3320312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43</v>
      </c>
    </row>
    <row r="3" spans="1:6" x14ac:dyDescent="0.3">
      <c r="A3" t="s">
        <v>44</v>
      </c>
    </row>
    <row r="4" spans="1:6" x14ac:dyDescent="0.3">
      <c r="A4" t="s">
        <v>45</v>
      </c>
    </row>
    <row r="5" spans="1:6" x14ac:dyDescent="0.3">
      <c r="A5" t="s">
        <v>46</v>
      </c>
    </row>
    <row r="6" spans="1:6" x14ac:dyDescent="0.3">
      <c r="A6" t="s">
        <v>47</v>
      </c>
    </row>
    <row r="7" spans="1:6" x14ac:dyDescent="0.3">
      <c r="A7" t="s">
        <v>48</v>
      </c>
    </row>
    <row r="8" spans="1:6" x14ac:dyDescent="0.3">
      <c r="A8" t="s">
        <v>49</v>
      </c>
    </row>
    <row r="9" spans="1:6" x14ac:dyDescent="0.3">
      <c r="A9" t="s">
        <v>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37EBE-7636-454B-A2DD-825FA66D4C4B}">
  <dimension ref="A1:F6"/>
  <sheetViews>
    <sheetView workbookViewId="0"/>
  </sheetViews>
  <sheetFormatPr defaultRowHeight="14.4" x14ac:dyDescent="0.3"/>
  <cols>
    <col min="1" max="1" width="35.3320312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51</v>
      </c>
    </row>
    <row r="3" spans="1:6" x14ac:dyDescent="0.3">
      <c r="A3" t="s">
        <v>52</v>
      </c>
    </row>
    <row r="4" spans="1:6" x14ac:dyDescent="0.3">
      <c r="A4" t="s">
        <v>48</v>
      </c>
    </row>
    <row r="5" spans="1:6" x14ac:dyDescent="0.3">
      <c r="A5" t="s">
        <v>49</v>
      </c>
    </row>
    <row r="6" spans="1:6" x14ac:dyDescent="0.3">
      <c r="A6" t="s">
        <v>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731-C819-4616-AA82-45BDEB1FF827}">
  <dimension ref="A1:D12"/>
  <sheetViews>
    <sheetView workbookViewId="0"/>
  </sheetViews>
  <sheetFormatPr defaultRowHeight="14.4" x14ac:dyDescent="0.3"/>
  <cols>
    <col min="1" max="1" width="69.109375" bestFit="1" customWidth="1"/>
    <col min="2" max="2" width="26.5546875" bestFit="1" customWidth="1"/>
    <col min="3" max="3" width="48.6640625" bestFit="1" customWidth="1"/>
    <col min="4" max="4" width="34.109375" bestFit="1" customWidth="1"/>
  </cols>
  <sheetData>
    <row r="1" spans="1:4" x14ac:dyDescent="0.3">
      <c r="A1" t="s">
        <v>53</v>
      </c>
      <c r="B1" t="s">
        <v>54</v>
      </c>
      <c r="C1" t="s">
        <v>55</v>
      </c>
      <c r="D1" t="s">
        <v>56</v>
      </c>
    </row>
    <row r="2" spans="1:4" x14ac:dyDescent="0.3">
      <c r="A2" t="s">
        <v>57</v>
      </c>
    </row>
    <row r="3" spans="1:4" x14ac:dyDescent="0.3">
      <c r="A3" t="s">
        <v>58</v>
      </c>
    </row>
    <row r="4" spans="1:4" x14ac:dyDescent="0.3">
      <c r="A4" t="s">
        <v>59</v>
      </c>
    </row>
    <row r="5" spans="1:4" x14ac:dyDescent="0.3">
      <c r="A5" t="s">
        <v>60</v>
      </c>
    </row>
    <row r="6" spans="1:4" x14ac:dyDescent="0.3">
      <c r="A6" t="s">
        <v>61</v>
      </c>
    </row>
    <row r="7" spans="1:4" x14ac:dyDescent="0.3">
      <c r="A7" t="s">
        <v>62</v>
      </c>
    </row>
    <row r="8" spans="1:4" x14ac:dyDescent="0.3">
      <c r="A8" t="s">
        <v>63</v>
      </c>
    </row>
    <row r="9" spans="1:4" x14ac:dyDescent="0.3">
      <c r="A9" t="s">
        <v>64</v>
      </c>
    </row>
    <row r="10" spans="1:4" x14ac:dyDescent="0.3">
      <c r="A10" t="s">
        <v>65</v>
      </c>
    </row>
    <row r="11" spans="1:4" x14ac:dyDescent="0.3">
      <c r="A11" t="s">
        <v>66</v>
      </c>
    </row>
    <row r="12" spans="1:4" x14ac:dyDescent="0.3">
      <c r="A12" t="s">
        <v>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CE00-9E3B-4607-9C64-E4035BC435C0}">
  <dimension ref="A1:K7"/>
  <sheetViews>
    <sheetView topLeftCell="H1" workbookViewId="0"/>
  </sheetViews>
  <sheetFormatPr defaultRowHeight="14.4" x14ac:dyDescent="0.3"/>
  <cols>
    <col min="1" max="1" width="108.6640625" bestFit="1" customWidth="1"/>
    <col min="2" max="2" width="72.5546875" bestFit="1" customWidth="1"/>
    <col min="3" max="3" width="77.88671875" bestFit="1" customWidth="1"/>
    <col min="4" max="4" width="72.44140625" bestFit="1" customWidth="1"/>
    <col min="5" max="5" width="67" bestFit="1" customWidth="1"/>
    <col min="6" max="6" width="96.6640625" bestFit="1" customWidth="1"/>
    <col min="7" max="7" width="68.88671875" bestFit="1" customWidth="1"/>
    <col min="8" max="8" width="45.109375" bestFit="1" customWidth="1"/>
    <col min="9" max="9" width="94.109375" bestFit="1" customWidth="1"/>
    <col min="10" max="10" width="14.5546875" bestFit="1" customWidth="1"/>
    <col min="11" max="11" width="71.109375" bestFit="1" customWidth="1"/>
  </cols>
  <sheetData>
    <row r="1" spans="1:11" x14ac:dyDescent="0.3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68</v>
      </c>
      <c r="I1" t="s">
        <v>84</v>
      </c>
      <c r="J1" t="s">
        <v>69</v>
      </c>
      <c r="K1" t="s">
        <v>70</v>
      </c>
    </row>
    <row r="2" spans="1:11" x14ac:dyDescent="0.3">
      <c r="A2" t="s">
        <v>71</v>
      </c>
    </row>
    <row r="3" spans="1:11" x14ac:dyDescent="0.3">
      <c r="A3" t="s">
        <v>72</v>
      </c>
    </row>
    <row r="4" spans="1:11" x14ac:dyDescent="0.3">
      <c r="A4" t="s">
        <v>73</v>
      </c>
    </row>
    <row r="5" spans="1:11" x14ac:dyDescent="0.3">
      <c r="A5" t="s">
        <v>74</v>
      </c>
    </row>
    <row r="6" spans="1:11" x14ac:dyDescent="0.3">
      <c r="A6" t="s">
        <v>75</v>
      </c>
    </row>
    <row r="7" spans="1:11" x14ac:dyDescent="0.3">
      <c r="A7" t="s">
        <v>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76C3-3C93-4069-B1FC-C6B4E281E92A}">
  <dimension ref="A1:D6"/>
  <sheetViews>
    <sheetView workbookViewId="0"/>
  </sheetViews>
  <sheetFormatPr defaultRowHeight="14.4" x14ac:dyDescent="0.3"/>
  <cols>
    <col min="1" max="1" width="35.33203125" bestFit="1" customWidth="1"/>
    <col min="2" max="2" width="17.5546875" bestFit="1" customWidth="1"/>
    <col min="3" max="3" width="46.88671875" bestFit="1" customWidth="1"/>
    <col min="4" max="4" width="26.33203125" bestFit="1" customWidth="1"/>
  </cols>
  <sheetData>
    <row r="1" spans="1:4" x14ac:dyDescent="0.3">
      <c r="B1" t="s">
        <v>85</v>
      </c>
      <c r="C1" t="s">
        <v>86</v>
      </c>
      <c r="D1" t="s">
        <v>87</v>
      </c>
    </row>
    <row r="2" spans="1:4" x14ac:dyDescent="0.3">
      <c r="A2" t="s">
        <v>88</v>
      </c>
    </row>
    <row r="3" spans="1:4" x14ac:dyDescent="0.3">
      <c r="A3" t="s">
        <v>89</v>
      </c>
    </row>
    <row r="4" spans="1:4" x14ac:dyDescent="0.3">
      <c r="A4" t="s">
        <v>48</v>
      </c>
    </row>
    <row r="5" spans="1:4" x14ac:dyDescent="0.3">
      <c r="A5" t="s">
        <v>49</v>
      </c>
    </row>
    <row r="6" spans="1:4" x14ac:dyDescent="0.3">
      <c r="A6" t="s">
        <v>50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6BB4-2A03-4561-9628-F03FEB2CF6E8}">
  <dimension ref="A1:D13"/>
  <sheetViews>
    <sheetView workbookViewId="0"/>
  </sheetViews>
  <sheetFormatPr defaultRowHeight="14.4" x14ac:dyDescent="0.3"/>
  <cols>
    <col min="1" max="1" width="28.88671875" bestFit="1" customWidth="1"/>
    <col min="2" max="2" width="8" bestFit="1" customWidth="1"/>
    <col min="3" max="3" width="10.33203125" bestFit="1" customWidth="1"/>
    <col min="4" max="4" width="9.5546875" bestFit="1" customWidth="1"/>
  </cols>
  <sheetData>
    <row r="1" spans="1:4" x14ac:dyDescent="0.3">
      <c r="A1" t="s">
        <v>90</v>
      </c>
      <c r="B1" t="s">
        <v>25</v>
      </c>
      <c r="C1" t="s">
        <v>91</v>
      </c>
      <c r="D1" t="s">
        <v>92</v>
      </c>
    </row>
    <row r="2" spans="1:4" x14ac:dyDescent="0.3">
      <c r="A2" t="s">
        <v>93</v>
      </c>
    </row>
    <row r="3" spans="1:4" x14ac:dyDescent="0.3">
      <c r="A3" t="s">
        <v>94</v>
      </c>
    </row>
    <row r="4" spans="1:4" x14ac:dyDescent="0.3">
      <c r="A4" t="s">
        <v>95</v>
      </c>
    </row>
    <row r="5" spans="1:4" x14ac:dyDescent="0.3">
      <c r="A5" t="s">
        <v>96</v>
      </c>
    </row>
    <row r="6" spans="1:4" x14ac:dyDescent="0.3">
      <c r="A6" t="s">
        <v>97</v>
      </c>
    </row>
    <row r="7" spans="1:4" x14ac:dyDescent="0.3">
      <c r="A7" t="s">
        <v>98</v>
      </c>
    </row>
    <row r="8" spans="1:4" x14ac:dyDescent="0.3">
      <c r="A8" t="s">
        <v>99</v>
      </c>
    </row>
    <row r="9" spans="1:4" x14ac:dyDescent="0.3">
      <c r="A9" t="s">
        <v>100</v>
      </c>
    </row>
    <row r="10" spans="1:4" x14ac:dyDescent="0.3">
      <c r="A10" t="s">
        <v>101</v>
      </c>
    </row>
    <row r="11" spans="1:4" x14ac:dyDescent="0.3">
      <c r="A11" t="s">
        <v>102</v>
      </c>
    </row>
    <row r="12" spans="1:4" x14ac:dyDescent="0.3">
      <c r="A12" t="s">
        <v>49</v>
      </c>
    </row>
    <row r="13" spans="1:4" x14ac:dyDescent="0.3">
      <c r="A13" t="s">
        <v>50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B438-26C3-4BE8-A745-AEF350D63F10}">
  <dimension ref="A1:C3"/>
  <sheetViews>
    <sheetView workbookViewId="0"/>
  </sheetViews>
  <sheetFormatPr defaultRowHeight="14.4" x14ac:dyDescent="0.3"/>
  <cols>
    <col min="1" max="1" width="16.5546875" bestFit="1" customWidth="1"/>
    <col min="2" max="2" width="10.33203125" bestFit="1" customWidth="1"/>
    <col min="3" max="3" width="9.5546875" bestFit="1" customWidth="1"/>
  </cols>
  <sheetData>
    <row r="1" spans="1:3" x14ac:dyDescent="0.3">
      <c r="B1" t="s">
        <v>91</v>
      </c>
      <c r="C1" t="s">
        <v>92</v>
      </c>
    </row>
    <row r="2" spans="1:3" x14ac:dyDescent="0.3">
      <c r="A2" t="s">
        <v>103</v>
      </c>
    </row>
    <row r="3" spans="1:3" x14ac:dyDescent="0.3">
      <c r="A3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B52C-3FAD-4812-954B-7083E8B0C2F1}">
  <dimension ref="B2:E29"/>
  <sheetViews>
    <sheetView workbookViewId="0">
      <selection activeCell="C11" sqref="C11"/>
    </sheetView>
  </sheetViews>
  <sheetFormatPr defaultColWidth="9.109375" defaultRowHeight="14.4" x14ac:dyDescent="0.3"/>
  <cols>
    <col min="1" max="1" width="2.6640625" style="75" customWidth="1"/>
    <col min="2" max="16384" width="9.109375" style="75"/>
  </cols>
  <sheetData>
    <row r="2" spans="2:4" x14ac:dyDescent="0.3">
      <c r="B2" s="74" t="s">
        <v>320</v>
      </c>
      <c r="C2" s="74" t="s">
        <v>324</v>
      </c>
    </row>
    <row r="3" spans="2:4" x14ac:dyDescent="0.3">
      <c r="C3" s="75" t="s">
        <v>328</v>
      </c>
    </row>
    <row r="4" spans="2:4" x14ac:dyDescent="0.3">
      <c r="D4" s="75" t="s">
        <v>322</v>
      </c>
    </row>
    <row r="5" spans="2:4" x14ac:dyDescent="0.3">
      <c r="D5" s="75" t="s">
        <v>321</v>
      </c>
    </row>
    <row r="6" spans="2:4" x14ac:dyDescent="0.3">
      <c r="D6" s="75" t="s">
        <v>323</v>
      </c>
    </row>
    <row r="7" spans="2:4" x14ac:dyDescent="0.3">
      <c r="C7" s="75" t="s">
        <v>329</v>
      </c>
    </row>
    <row r="10" spans="2:4" x14ac:dyDescent="0.3">
      <c r="B10" s="74" t="s">
        <v>325</v>
      </c>
      <c r="C10" s="74" t="s">
        <v>326</v>
      </c>
    </row>
    <row r="11" spans="2:4" x14ac:dyDescent="0.3">
      <c r="C11" s="75" t="s">
        <v>327</v>
      </c>
    </row>
    <row r="12" spans="2:4" x14ac:dyDescent="0.3">
      <c r="D12" s="75" t="s">
        <v>330</v>
      </c>
    </row>
    <row r="13" spans="2:4" x14ac:dyDescent="0.3">
      <c r="D13" s="75" t="s">
        <v>331</v>
      </c>
    </row>
    <row r="14" spans="2:4" x14ac:dyDescent="0.3">
      <c r="D14" s="75" t="s">
        <v>333</v>
      </c>
    </row>
    <row r="15" spans="2:4" x14ac:dyDescent="0.3">
      <c r="C15" s="75" t="s">
        <v>336</v>
      </c>
    </row>
    <row r="16" spans="2:4" x14ac:dyDescent="0.3">
      <c r="D16" s="75" t="s">
        <v>337</v>
      </c>
    </row>
    <row r="17" spans="2:5" x14ac:dyDescent="0.3">
      <c r="D17" s="75" t="s">
        <v>342</v>
      </c>
    </row>
    <row r="18" spans="2:5" x14ac:dyDescent="0.3">
      <c r="E18" s="75" t="s">
        <v>343</v>
      </c>
    </row>
    <row r="19" spans="2:5" x14ac:dyDescent="0.3">
      <c r="D19" s="75" t="s">
        <v>344</v>
      </c>
    </row>
    <row r="20" spans="2:5" x14ac:dyDescent="0.3">
      <c r="E20" s="75" t="s">
        <v>345</v>
      </c>
    </row>
    <row r="21" spans="2:5" x14ac:dyDescent="0.3">
      <c r="D21" s="75" t="s">
        <v>346</v>
      </c>
    </row>
    <row r="24" spans="2:5" x14ac:dyDescent="0.3">
      <c r="B24" s="74" t="s">
        <v>334</v>
      </c>
      <c r="C24" s="74" t="s">
        <v>335</v>
      </c>
    </row>
    <row r="25" spans="2:5" x14ac:dyDescent="0.3">
      <c r="C25" s="75" t="s">
        <v>332</v>
      </c>
    </row>
    <row r="26" spans="2:5" x14ac:dyDescent="0.3">
      <c r="D26" s="75" t="s">
        <v>338</v>
      </c>
    </row>
    <row r="27" spans="2:5" x14ac:dyDescent="0.3">
      <c r="D27" s="75" t="s">
        <v>339</v>
      </c>
    </row>
    <row r="28" spans="2:5" x14ac:dyDescent="0.3">
      <c r="D28" s="75" t="s">
        <v>340</v>
      </c>
    </row>
    <row r="29" spans="2:5" x14ac:dyDescent="0.3">
      <c r="C29" s="75" t="s">
        <v>341</v>
      </c>
    </row>
  </sheetData>
  <sheetProtection algorithmName="SHA-512" hashValue="wubPzFAcpsEZct1tc2LgLnP2LbXbg6HufmmTjf1h7p9B8uO67tAunPws4M9pE8NVIv1QzxbGOIR4HsIQtXbhXA==" saltValue="p2UkONQ4SVRdhafpREytDA==" spinCount="100000" sheet="1" objects="1" scenarios="1" selectLockedCells="1" selectUnlockedCells="1"/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E9D60-FA01-4542-99AE-E46279BAEFEC}">
  <dimension ref="A1:F43"/>
  <sheetViews>
    <sheetView workbookViewId="0"/>
  </sheetViews>
  <sheetFormatPr defaultRowHeight="14.4" x14ac:dyDescent="0.3"/>
  <cols>
    <col min="1" max="1" width="80.10937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105</v>
      </c>
    </row>
    <row r="3" spans="1:6" x14ac:dyDescent="0.3">
      <c r="A3" t="s">
        <v>106</v>
      </c>
    </row>
    <row r="4" spans="1:6" x14ac:dyDescent="0.3">
      <c r="A4" t="s">
        <v>107</v>
      </c>
    </row>
    <row r="5" spans="1:6" x14ac:dyDescent="0.3">
      <c r="A5" t="s">
        <v>108</v>
      </c>
    </row>
    <row r="6" spans="1:6" x14ac:dyDescent="0.3">
      <c r="A6" t="s">
        <v>109</v>
      </c>
    </row>
    <row r="7" spans="1:6" x14ac:dyDescent="0.3">
      <c r="A7" t="s">
        <v>110</v>
      </c>
    </row>
    <row r="8" spans="1:6" x14ac:dyDescent="0.3">
      <c r="A8" t="s">
        <v>111</v>
      </c>
    </row>
    <row r="9" spans="1:6" x14ac:dyDescent="0.3">
      <c r="A9" t="s">
        <v>112</v>
      </c>
    </row>
    <row r="10" spans="1:6" x14ac:dyDescent="0.3">
      <c r="A10" t="s">
        <v>113</v>
      </c>
    </row>
    <row r="11" spans="1:6" x14ac:dyDescent="0.3">
      <c r="A11" t="s">
        <v>114</v>
      </c>
    </row>
    <row r="12" spans="1:6" x14ac:dyDescent="0.3">
      <c r="A12" t="s">
        <v>115</v>
      </c>
    </row>
    <row r="13" spans="1:6" x14ac:dyDescent="0.3">
      <c r="A13" t="s">
        <v>116</v>
      </c>
    </row>
    <row r="14" spans="1:6" x14ac:dyDescent="0.3">
      <c r="A14" t="s">
        <v>117</v>
      </c>
    </row>
    <row r="15" spans="1:6" x14ac:dyDescent="0.3">
      <c r="A15" t="s">
        <v>118</v>
      </c>
    </row>
    <row r="16" spans="1:6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117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117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48</v>
      </c>
    </row>
    <row r="38" spans="1:1" x14ac:dyDescent="0.3">
      <c r="A38" t="s">
        <v>138</v>
      </c>
    </row>
    <row r="39" spans="1:1" x14ac:dyDescent="0.3">
      <c r="A39" t="s">
        <v>117</v>
      </c>
    </row>
    <row r="40" spans="1:1" x14ac:dyDescent="0.3">
      <c r="A40" t="s">
        <v>50</v>
      </c>
    </row>
    <row r="41" spans="1:1" x14ac:dyDescent="0.3">
      <c r="A41" t="s">
        <v>139</v>
      </c>
    </row>
    <row r="42" spans="1:1" x14ac:dyDescent="0.3">
      <c r="A42" t="s">
        <v>140</v>
      </c>
    </row>
    <row r="43" spans="1:1" x14ac:dyDescent="0.3">
      <c r="A43" t="s">
        <v>141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8E78-44FC-4E88-A075-41B6B04832FA}">
  <dimension ref="A1:F43"/>
  <sheetViews>
    <sheetView workbookViewId="0">
      <selection activeCell="B23" sqref="B23"/>
    </sheetView>
  </sheetViews>
  <sheetFormatPr defaultRowHeight="14.4" x14ac:dyDescent="0.3"/>
  <cols>
    <col min="1" max="1" width="80.10937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105</v>
      </c>
    </row>
    <row r="3" spans="1:6" x14ac:dyDescent="0.3">
      <c r="A3" t="s">
        <v>106</v>
      </c>
    </row>
    <row r="4" spans="1:6" x14ac:dyDescent="0.3">
      <c r="A4" t="s">
        <v>107</v>
      </c>
    </row>
    <row r="5" spans="1:6" x14ac:dyDescent="0.3">
      <c r="A5" t="s">
        <v>108</v>
      </c>
    </row>
    <row r="6" spans="1:6" x14ac:dyDescent="0.3">
      <c r="A6" t="s">
        <v>109</v>
      </c>
    </row>
    <row r="7" spans="1:6" x14ac:dyDescent="0.3">
      <c r="A7" t="s">
        <v>110</v>
      </c>
    </row>
    <row r="8" spans="1:6" x14ac:dyDescent="0.3">
      <c r="A8" t="s">
        <v>111</v>
      </c>
    </row>
    <row r="9" spans="1:6" x14ac:dyDescent="0.3">
      <c r="A9" t="s">
        <v>112</v>
      </c>
    </row>
    <row r="10" spans="1:6" x14ac:dyDescent="0.3">
      <c r="A10" t="s">
        <v>113</v>
      </c>
    </row>
    <row r="11" spans="1:6" x14ac:dyDescent="0.3">
      <c r="A11" t="s">
        <v>114</v>
      </c>
    </row>
    <row r="12" spans="1:6" x14ac:dyDescent="0.3">
      <c r="A12" t="s">
        <v>115</v>
      </c>
    </row>
    <row r="13" spans="1:6" x14ac:dyDescent="0.3">
      <c r="A13" t="s">
        <v>116</v>
      </c>
    </row>
    <row r="14" spans="1:6" x14ac:dyDescent="0.3">
      <c r="A14" t="s">
        <v>117</v>
      </c>
    </row>
    <row r="15" spans="1:6" x14ac:dyDescent="0.3">
      <c r="A15" t="s">
        <v>118</v>
      </c>
    </row>
    <row r="16" spans="1:6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117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117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48</v>
      </c>
    </row>
    <row r="38" spans="1:1" x14ac:dyDescent="0.3">
      <c r="A38" t="s">
        <v>138</v>
      </c>
    </row>
    <row r="39" spans="1:1" x14ac:dyDescent="0.3">
      <c r="A39" t="s">
        <v>117</v>
      </c>
    </row>
    <row r="40" spans="1:1" x14ac:dyDescent="0.3">
      <c r="A40" t="s">
        <v>50</v>
      </c>
    </row>
    <row r="41" spans="1:1" x14ac:dyDescent="0.3">
      <c r="A41" t="s">
        <v>139</v>
      </c>
    </row>
    <row r="42" spans="1:1" x14ac:dyDescent="0.3">
      <c r="A42" t="s">
        <v>140</v>
      </c>
    </row>
    <row r="43" spans="1:1" x14ac:dyDescent="0.3">
      <c r="A43" t="s">
        <v>141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74A3-71B8-4138-AD16-701840B6FD30}">
  <dimension ref="A1:E7"/>
  <sheetViews>
    <sheetView workbookViewId="0"/>
  </sheetViews>
  <sheetFormatPr defaultRowHeight="14.4" x14ac:dyDescent="0.3"/>
  <cols>
    <col min="1" max="1" width="35.33203125" bestFit="1" customWidth="1"/>
    <col min="2" max="2" width="8" bestFit="1" customWidth="1"/>
    <col min="3" max="3" width="19.109375" bestFit="1" customWidth="1"/>
    <col min="4" max="4" width="26.33203125" bestFit="1" customWidth="1"/>
    <col min="5" max="5" width="26.88671875" bestFit="1" customWidth="1"/>
  </cols>
  <sheetData>
    <row r="1" spans="1:5" x14ac:dyDescent="0.3">
      <c r="B1" t="s">
        <v>25</v>
      </c>
      <c r="C1" t="s">
        <v>26</v>
      </c>
      <c r="D1" t="s">
        <v>27</v>
      </c>
      <c r="E1" t="s">
        <v>29</v>
      </c>
    </row>
    <row r="2" spans="1:5" x14ac:dyDescent="0.3">
      <c r="A2" t="s">
        <v>142</v>
      </c>
    </row>
    <row r="3" spans="1:5" x14ac:dyDescent="0.3">
      <c r="A3" t="s">
        <v>143</v>
      </c>
    </row>
    <row r="4" spans="1:5" x14ac:dyDescent="0.3">
      <c r="A4" t="s">
        <v>144</v>
      </c>
    </row>
    <row r="5" spans="1:5" x14ac:dyDescent="0.3">
      <c r="A5" t="s">
        <v>48</v>
      </c>
    </row>
    <row r="6" spans="1:5" x14ac:dyDescent="0.3">
      <c r="A6" t="s">
        <v>49</v>
      </c>
    </row>
    <row r="7" spans="1:5" x14ac:dyDescent="0.3">
      <c r="A7" t="s">
        <v>50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91D7-3395-4361-89DD-3AB76C625133}">
  <dimension ref="A1:F6"/>
  <sheetViews>
    <sheetView workbookViewId="0"/>
  </sheetViews>
  <sheetFormatPr defaultRowHeight="14.4" x14ac:dyDescent="0.3"/>
  <cols>
    <col min="1" max="1" width="35.3320312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145</v>
      </c>
    </row>
    <row r="3" spans="1:6" x14ac:dyDescent="0.3">
      <c r="A3" t="s">
        <v>146</v>
      </c>
    </row>
    <row r="4" spans="1:6" x14ac:dyDescent="0.3">
      <c r="A4" t="s">
        <v>48</v>
      </c>
    </row>
    <row r="5" spans="1:6" x14ac:dyDescent="0.3">
      <c r="A5" t="s">
        <v>49</v>
      </c>
    </row>
    <row r="6" spans="1:6" x14ac:dyDescent="0.3">
      <c r="A6" t="s">
        <v>50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3876-FBE2-4779-8F7B-63FA75166257}">
  <dimension ref="A1:F6"/>
  <sheetViews>
    <sheetView workbookViewId="0"/>
  </sheetViews>
  <sheetFormatPr defaultRowHeight="14.4" x14ac:dyDescent="0.3"/>
  <cols>
    <col min="1" max="1" width="35.3320312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147</v>
      </c>
    </row>
    <row r="3" spans="1:6" x14ac:dyDescent="0.3">
      <c r="A3" t="s">
        <v>148</v>
      </c>
    </row>
    <row r="4" spans="1:6" x14ac:dyDescent="0.3">
      <c r="A4" t="s">
        <v>48</v>
      </c>
    </row>
    <row r="5" spans="1:6" x14ac:dyDescent="0.3">
      <c r="A5" t="s">
        <v>49</v>
      </c>
    </row>
    <row r="6" spans="1:6" x14ac:dyDescent="0.3">
      <c r="A6" t="s">
        <v>50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9273-504E-4E07-94FF-EDA21419AE0E}">
  <dimension ref="A1:E3"/>
  <sheetViews>
    <sheetView workbookViewId="0"/>
  </sheetViews>
  <sheetFormatPr defaultRowHeight="14.4" x14ac:dyDescent="0.3"/>
  <cols>
    <col min="1" max="1" width="21.6640625" bestFit="1" customWidth="1"/>
    <col min="2" max="2" width="23" bestFit="1" customWidth="1"/>
    <col min="3" max="3" width="33.33203125" bestFit="1" customWidth="1"/>
    <col min="4" max="4" width="15.5546875" bestFit="1" customWidth="1"/>
    <col min="5" max="5" width="18.6640625" bestFit="1" customWidth="1"/>
  </cols>
  <sheetData>
    <row r="1" spans="1:5" x14ac:dyDescent="0.3">
      <c r="B1" t="s">
        <v>149</v>
      </c>
      <c r="C1" t="s">
        <v>150</v>
      </c>
      <c r="D1" t="s">
        <v>151</v>
      </c>
      <c r="E1" t="s">
        <v>152</v>
      </c>
    </row>
    <row r="2" spans="1:5" x14ac:dyDescent="0.3">
      <c r="A2" t="s">
        <v>153</v>
      </c>
    </row>
    <row r="3" spans="1:5" x14ac:dyDescent="0.3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9EA9-E8DF-4183-87CA-0A8BD2BB1CF2}">
  <dimension ref="B2:M37"/>
  <sheetViews>
    <sheetView workbookViewId="0">
      <selection activeCell="C4" sqref="C4"/>
    </sheetView>
  </sheetViews>
  <sheetFormatPr defaultColWidth="8.88671875" defaultRowHeight="14.4" x14ac:dyDescent="0.3"/>
  <cols>
    <col min="1" max="1" width="2.6640625" style="3" customWidth="1"/>
    <col min="2" max="2" width="60.6640625" style="3" customWidth="1"/>
    <col min="3" max="3" width="15.6640625" style="19" customWidth="1"/>
    <col min="4" max="4" width="18.6640625" style="3" customWidth="1"/>
    <col min="5" max="5" width="2.6640625" style="3" hidden="1" customWidth="1"/>
    <col min="6" max="6" width="90.6640625" style="3" hidden="1" customWidth="1"/>
    <col min="7" max="7" width="9.6640625" style="3" hidden="1" customWidth="1"/>
    <col min="8" max="8" width="18.6640625" style="3" hidden="1" customWidth="1"/>
    <col min="9" max="9" width="2.6640625" style="3" customWidth="1"/>
    <col min="10" max="10" width="17.44140625" style="3" hidden="1" customWidth="1"/>
    <col min="11" max="16384" width="8.88671875" style="3"/>
  </cols>
  <sheetData>
    <row r="2" spans="2:13" x14ac:dyDescent="0.3">
      <c r="B2" s="136" t="s">
        <v>209</v>
      </c>
      <c r="C2" s="137"/>
      <c r="D2" s="138"/>
      <c r="F2" s="136" t="s">
        <v>220</v>
      </c>
      <c r="G2" s="137"/>
      <c r="H2" s="138"/>
      <c r="J2" s="26" t="s">
        <v>300</v>
      </c>
    </row>
    <row r="3" spans="2:13" x14ac:dyDescent="0.3">
      <c r="B3" s="4" t="s">
        <v>207</v>
      </c>
      <c r="C3" s="5" t="s">
        <v>172</v>
      </c>
      <c r="D3" s="6" t="s">
        <v>208</v>
      </c>
      <c r="F3" s="4" t="s">
        <v>207</v>
      </c>
      <c r="G3" s="5" t="s">
        <v>172</v>
      </c>
      <c r="H3" s="6" t="s">
        <v>208</v>
      </c>
      <c r="J3" s="3" t="s">
        <v>298</v>
      </c>
      <c r="K3" s="41"/>
      <c r="L3" s="19" t="s">
        <v>309</v>
      </c>
      <c r="M3" s="3" t="s">
        <v>310</v>
      </c>
    </row>
    <row r="4" spans="2:13" x14ac:dyDescent="0.3">
      <c r="B4" s="9" t="s">
        <v>243</v>
      </c>
      <c r="C4" s="27"/>
      <c r="D4" s="11" t="s">
        <v>315</v>
      </c>
      <c r="F4" s="9" t="s">
        <v>221</v>
      </c>
      <c r="G4" s="7"/>
      <c r="H4" s="11" t="s">
        <v>222</v>
      </c>
      <c r="J4" s="3" t="s">
        <v>299</v>
      </c>
    </row>
    <row r="5" spans="2:13" x14ac:dyDescent="0.3">
      <c r="B5" s="9" t="s">
        <v>244</v>
      </c>
      <c r="C5" s="27"/>
      <c r="D5" s="11" t="s">
        <v>315</v>
      </c>
      <c r="F5" s="9" t="s">
        <v>224</v>
      </c>
      <c r="G5" s="7"/>
      <c r="H5" s="11" t="s">
        <v>223</v>
      </c>
      <c r="K5" s="24"/>
      <c r="L5" s="19" t="s">
        <v>309</v>
      </c>
      <c r="M5" s="3" t="s">
        <v>318</v>
      </c>
    </row>
    <row r="6" spans="2:13" x14ac:dyDescent="0.3">
      <c r="B6" s="9" t="s">
        <v>317</v>
      </c>
      <c r="C6" s="27"/>
      <c r="D6" s="11" t="s">
        <v>303</v>
      </c>
      <c r="F6" s="9"/>
      <c r="G6" s="7"/>
      <c r="H6" s="11"/>
    </row>
    <row r="7" spans="2:13" x14ac:dyDescent="0.3">
      <c r="B7" s="10" t="s">
        <v>306</v>
      </c>
      <c r="C7" s="28"/>
      <c r="D7" s="12" t="s">
        <v>308</v>
      </c>
      <c r="F7" s="16" t="s">
        <v>242</v>
      </c>
      <c r="G7" s="15" t="s">
        <v>225</v>
      </c>
      <c r="H7" s="11" t="s">
        <v>241</v>
      </c>
    </row>
    <row r="8" spans="2:13" x14ac:dyDescent="0.3">
      <c r="F8" s="16" t="s">
        <v>161</v>
      </c>
      <c r="G8" s="7"/>
      <c r="H8" s="11" t="s">
        <v>223</v>
      </c>
    </row>
    <row r="9" spans="2:13" x14ac:dyDescent="0.3">
      <c r="B9" s="136" t="s">
        <v>210</v>
      </c>
      <c r="C9" s="137"/>
      <c r="D9" s="138"/>
      <c r="F9" s="16" t="s">
        <v>162</v>
      </c>
      <c r="G9" s="7"/>
      <c r="H9" s="11" t="s">
        <v>223</v>
      </c>
    </row>
    <row r="10" spans="2:13" x14ac:dyDescent="0.3">
      <c r="B10" s="4" t="s">
        <v>207</v>
      </c>
      <c r="C10" s="5" t="s">
        <v>172</v>
      </c>
      <c r="D10" s="6" t="s">
        <v>208</v>
      </c>
      <c r="F10" s="16" t="s">
        <v>166</v>
      </c>
      <c r="G10" s="7"/>
      <c r="H10" s="11" t="s">
        <v>223</v>
      </c>
    </row>
    <row r="11" spans="2:13" x14ac:dyDescent="0.3">
      <c r="B11" s="9" t="s">
        <v>159</v>
      </c>
      <c r="C11" s="27"/>
      <c r="D11" s="11" t="s">
        <v>311</v>
      </c>
      <c r="F11" s="16" t="s">
        <v>167</v>
      </c>
      <c r="G11" s="7"/>
      <c r="H11" s="11" t="s">
        <v>223</v>
      </c>
    </row>
    <row r="12" spans="2:13" x14ac:dyDescent="0.3">
      <c r="B12" s="10" t="s">
        <v>160</v>
      </c>
      <c r="C12" s="28"/>
      <c r="D12" s="12" t="s">
        <v>311</v>
      </c>
      <c r="F12" s="16" t="s">
        <v>168</v>
      </c>
      <c r="G12" s="7"/>
      <c r="H12" s="11" t="s">
        <v>223</v>
      </c>
    </row>
    <row r="13" spans="2:13" x14ac:dyDescent="0.3">
      <c r="F13" s="16" t="s">
        <v>169</v>
      </c>
      <c r="G13" s="7"/>
      <c r="H13" s="11" t="s">
        <v>223</v>
      </c>
    </row>
    <row r="14" spans="2:13" x14ac:dyDescent="0.3">
      <c r="B14" s="136" t="s">
        <v>211</v>
      </c>
      <c r="C14" s="137"/>
      <c r="D14" s="138"/>
      <c r="F14" s="16" t="s">
        <v>170</v>
      </c>
      <c r="G14" s="7"/>
      <c r="H14" s="11" t="s">
        <v>223</v>
      </c>
    </row>
    <row r="15" spans="2:13" x14ac:dyDescent="0.3">
      <c r="B15" s="4" t="s">
        <v>207</v>
      </c>
      <c r="C15" s="5" t="s">
        <v>172</v>
      </c>
      <c r="D15" s="6" t="s">
        <v>208</v>
      </c>
      <c r="F15" s="16" t="s">
        <v>173</v>
      </c>
      <c r="G15" s="7"/>
      <c r="H15" s="11" t="s">
        <v>223</v>
      </c>
    </row>
    <row r="16" spans="2:13" x14ac:dyDescent="0.3">
      <c r="B16" s="9" t="s">
        <v>192</v>
      </c>
      <c r="C16" s="127"/>
      <c r="D16" s="11" t="s">
        <v>215</v>
      </c>
      <c r="F16" s="16" t="s">
        <v>174</v>
      </c>
      <c r="G16" s="7"/>
      <c r="H16" s="11" t="s">
        <v>223</v>
      </c>
    </row>
    <row r="17" spans="2:8" x14ac:dyDescent="0.3">
      <c r="B17" s="9" t="s">
        <v>212</v>
      </c>
      <c r="C17" s="23" t="str">
        <f>IF(C16 &gt;= 0.9, "Yes", "No")</f>
        <v>No</v>
      </c>
      <c r="D17" s="11" t="s">
        <v>241</v>
      </c>
      <c r="F17" s="16" t="s">
        <v>175</v>
      </c>
      <c r="G17" s="7"/>
      <c r="H17" s="11" t="s">
        <v>223</v>
      </c>
    </row>
    <row r="18" spans="2:8" x14ac:dyDescent="0.3">
      <c r="B18" s="9" t="s">
        <v>285</v>
      </c>
      <c r="C18" s="27"/>
      <c r="D18" s="11" t="s">
        <v>215</v>
      </c>
      <c r="F18" s="16" t="s">
        <v>176</v>
      </c>
      <c r="G18" s="7"/>
      <c r="H18" s="11" t="s">
        <v>223</v>
      </c>
    </row>
    <row r="19" spans="2:8" x14ac:dyDescent="0.3">
      <c r="B19" s="9" t="s">
        <v>286</v>
      </c>
      <c r="C19" s="27"/>
      <c r="D19" s="11" t="s">
        <v>215</v>
      </c>
      <c r="F19" s="16" t="s">
        <v>177</v>
      </c>
      <c r="G19" s="7"/>
      <c r="H19" s="11" t="s">
        <v>223</v>
      </c>
    </row>
    <row r="20" spans="2:8" x14ac:dyDescent="0.3">
      <c r="B20" s="10" t="s">
        <v>403</v>
      </c>
      <c r="C20" s="28"/>
      <c r="D20" s="12" t="s">
        <v>404</v>
      </c>
      <c r="F20" s="16"/>
      <c r="G20" s="7"/>
      <c r="H20" s="11"/>
    </row>
    <row r="21" spans="2:8" x14ac:dyDescent="0.3">
      <c r="F21" s="16" t="s">
        <v>178</v>
      </c>
      <c r="G21" s="7"/>
      <c r="H21" s="11" t="s">
        <v>223</v>
      </c>
    </row>
    <row r="22" spans="2:8" x14ac:dyDescent="0.3">
      <c r="B22" s="136" t="s">
        <v>405</v>
      </c>
      <c r="C22" s="137"/>
      <c r="D22" s="138"/>
      <c r="F22" s="16"/>
      <c r="G22" s="7"/>
      <c r="H22" s="11"/>
    </row>
    <row r="23" spans="2:8" x14ac:dyDescent="0.3">
      <c r="B23" s="4" t="s">
        <v>207</v>
      </c>
      <c r="C23" s="5" t="s">
        <v>172</v>
      </c>
      <c r="D23" s="6" t="s">
        <v>208</v>
      </c>
      <c r="F23" s="16"/>
      <c r="G23" s="7"/>
      <c r="H23" s="11"/>
    </row>
    <row r="24" spans="2:8" x14ac:dyDescent="0.3">
      <c r="B24" s="10" t="s">
        <v>349</v>
      </c>
      <c r="C24" s="28"/>
      <c r="D24" s="12" t="s">
        <v>215</v>
      </c>
      <c r="F24" s="16"/>
      <c r="G24" s="7"/>
      <c r="H24" s="11"/>
    </row>
    <row r="25" spans="2:8" x14ac:dyDescent="0.3">
      <c r="F25" s="16"/>
      <c r="G25" s="7"/>
      <c r="H25" s="11"/>
    </row>
    <row r="26" spans="2:8" x14ac:dyDescent="0.3">
      <c r="B26" s="136" t="s">
        <v>216</v>
      </c>
      <c r="C26" s="137"/>
      <c r="D26" s="138"/>
      <c r="F26" s="16" t="s">
        <v>179</v>
      </c>
      <c r="G26" s="7"/>
      <c r="H26" s="11" t="s">
        <v>223</v>
      </c>
    </row>
    <row r="27" spans="2:8" x14ac:dyDescent="0.3">
      <c r="B27" s="4" t="s">
        <v>207</v>
      </c>
      <c r="C27" s="5" t="s">
        <v>172</v>
      </c>
      <c r="D27" s="6" t="s">
        <v>208</v>
      </c>
      <c r="F27" s="16" t="s">
        <v>180</v>
      </c>
      <c r="G27" s="7"/>
      <c r="H27" s="11" t="s">
        <v>223</v>
      </c>
    </row>
    <row r="28" spans="2:8" x14ac:dyDescent="0.3">
      <c r="B28" s="10" t="s">
        <v>305</v>
      </c>
      <c r="C28" s="28"/>
      <c r="D28" s="12" t="s">
        <v>312</v>
      </c>
      <c r="F28" s="16" t="s">
        <v>181</v>
      </c>
      <c r="G28" s="7"/>
      <c r="H28" s="11" t="s">
        <v>223</v>
      </c>
    </row>
    <row r="29" spans="2:8" x14ac:dyDescent="0.3">
      <c r="F29" s="17" t="s">
        <v>182</v>
      </c>
      <c r="G29" s="8"/>
      <c r="H29" s="12" t="s">
        <v>223</v>
      </c>
    </row>
    <row r="30" spans="2:8" x14ac:dyDescent="0.3">
      <c r="B30" s="136" t="s">
        <v>217</v>
      </c>
      <c r="C30" s="137"/>
      <c r="D30" s="138"/>
    </row>
    <row r="31" spans="2:8" x14ac:dyDescent="0.3">
      <c r="B31" s="4" t="s">
        <v>207</v>
      </c>
      <c r="C31" s="5" t="s">
        <v>172</v>
      </c>
      <c r="D31" s="6" t="s">
        <v>208</v>
      </c>
    </row>
    <row r="32" spans="2:8" x14ac:dyDescent="0.3">
      <c r="B32" s="10" t="s">
        <v>218</v>
      </c>
      <c r="C32" s="28"/>
      <c r="D32" s="12" t="s">
        <v>316</v>
      </c>
    </row>
    <row r="34" spans="2:4" x14ac:dyDescent="0.3">
      <c r="B34" s="136" t="s">
        <v>219</v>
      </c>
      <c r="C34" s="137"/>
      <c r="D34" s="138"/>
    </row>
    <row r="35" spans="2:4" x14ac:dyDescent="0.3">
      <c r="B35" s="4" t="s">
        <v>207</v>
      </c>
      <c r="C35" s="5" t="s">
        <v>172</v>
      </c>
      <c r="D35" s="6" t="s">
        <v>208</v>
      </c>
    </row>
    <row r="36" spans="2:4" x14ac:dyDescent="0.3">
      <c r="B36" s="9" t="str">
        <f ca="1">"Program has Conditions from " &amp; YEAR(TODAY())-1 &amp; " Scorecard"</f>
        <v>Program has Conditions from 2019 Scorecard</v>
      </c>
      <c r="C36" s="27"/>
      <c r="D36" s="11" t="s">
        <v>267</v>
      </c>
    </row>
    <row r="37" spans="2:4" x14ac:dyDescent="0.3">
      <c r="B37" s="10" t="s">
        <v>268</v>
      </c>
      <c r="C37" s="28"/>
      <c r="D37" s="12" t="s">
        <v>267</v>
      </c>
    </row>
  </sheetData>
  <sheetProtection algorithmName="SHA-512" hashValue="0a742eGcseSDejH02IYv+2irAPTQSluwYh9uarRq3Vz6kJ4PLkyFzC7VB6RJ/y8KDEdByx8fPAz2noj04wxfYQ==" saltValue="O1izaDslhNyr3C/r/CbQ7Q==" spinCount="100000" sheet="1" selectLockedCells="1"/>
  <protectedRanges>
    <protectedRange sqref="C4:C7 C11:C12 C16 C18:C20 C24 C28 C32 C36:C37" name="Range1"/>
  </protectedRanges>
  <mergeCells count="8">
    <mergeCell ref="F2:H2"/>
    <mergeCell ref="B34:D34"/>
    <mergeCell ref="B2:D2"/>
    <mergeCell ref="B9:D9"/>
    <mergeCell ref="B14:D14"/>
    <mergeCell ref="B26:D26"/>
    <mergeCell ref="B30:D30"/>
    <mergeCell ref="B22:D22"/>
  </mergeCells>
  <conditionalFormatting sqref="C37 C32 C28 C18:C19 C11:C12 C4:C5">
    <cfRule type="containsBlanks" dxfId="27" priority="11">
      <formula>LEN(TRIM(C4))=0</formula>
    </cfRule>
  </conditionalFormatting>
  <conditionalFormatting sqref="G4:G6 G8:G29">
    <cfRule type="containsBlanks" dxfId="26" priority="10">
      <formula>LEN(TRIM(G4))=0</formula>
    </cfRule>
  </conditionalFormatting>
  <conditionalFormatting sqref="C16">
    <cfRule type="containsBlanks" dxfId="25" priority="7">
      <formula>LEN(TRIM(C16))=0</formula>
    </cfRule>
  </conditionalFormatting>
  <conditionalFormatting sqref="C36">
    <cfRule type="containsBlanks" dxfId="24" priority="6">
      <formula>LEN(TRIM(C36))=0</formula>
    </cfRule>
  </conditionalFormatting>
  <conditionalFormatting sqref="C6">
    <cfRule type="containsBlanks" dxfId="23" priority="5">
      <formula>LEN(TRIM(C6))=0</formula>
    </cfRule>
  </conditionalFormatting>
  <conditionalFormatting sqref="C7">
    <cfRule type="containsBlanks" dxfId="22" priority="4">
      <formula>LEN(TRIM(C7))=0</formula>
    </cfRule>
  </conditionalFormatting>
  <conditionalFormatting sqref="C20">
    <cfRule type="containsBlanks" dxfId="21" priority="3">
      <formula>LEN(TRIM(C20))=0</formula>
    </cfRule>
  </conditionalFormatting>
  <conditionalFormatting sqref="C24">
    <cfRule type="containsBlanks" dxfId="20" priority="1">
      <formula>LEN(TRIM(C24))=0</formula>
    </cfRule>
  </conditionalFormatting>
  <dataValidations count="4">
    <dataValidation type="whole" operator="greaterThan" allowBlank="1" showInputMessage="1" showErrorMessage="1" sqref="C4:C6" xr:uid="{D527A0FC-CF1B-4C9B-9B77-C9464915EFC6}">
      <formula1>0</formula1>
    </dataValidation>
    <dataValidation type="decimal" operator="lessThanOrEqual" allowBlank="1" showInputMessage="1" showErrorMessage="1" sqref="C16" xr:uid="{0E33D971-C912-4505-A3F7-6EBE12F9EE2F}">
      <formula1>1</formula1>
    </dataValidation>
    <dataValidation type="list" allowBlank="1" showInputMessage="1" showErrorMessage="1" sqref="C36:C37 C28 C32 C18:C19" xr:uid="{D18AF095-798A-4904-BD2D-5EA3E07DA444}">
      <formula1>$J$3:$J$4</formula1>
    </dataValidation>
    <dataValidation type="list" operator="greaterThan" allowBlank="1" showInputMessage="1" showErrorMessage="1" sqref="C7 C20 C24" xr:uid="{50AD6684-8A66-4767-80D4-B3C91B0BFE6B}">
      <formula1>$J$3:$J$4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31AC-0F42-47E9-84FB-3AA610467DF5}">
  <dimension ref="A1:XFD256"/>
  <sheetViews>
    <sheetView zoomScale="80" zoomScaleNormal="80" workbookViewId="0">
      <pane ySplit="1" topLeftCell="A2" activePane="bottomLeft" state="frozen"/>
      <selection pane="bottomLeft" activeCell="A149" sqref="A149"/>
    </sheetView>
  </sheetViews>
  <sheetFormatPr defaultColWidth="9.109375" defaultRowHeight="14.4" x14ac:dyDescent="0.3"/>
  <cols>
    <col min="1" max="1" width="120.6640625" style="48" customWidth="1"/>
    <col min="2" max="2" width="10.6640625" style="47" customWidth="1"/>
    <col min="3" max="3" width="9.6640625" style="45" customWidth="1"/>
    <col min="4" max="4" width="10.5546875" style="45" customWidth="1"/>
    <col min="5" max="5" width="14.6640625" style="45" customWidth="1"/>
    <col min="6" max="6" width="97.6640625" style="47" customWidth="1"/>
    <col min="7" max="16384" width="9.109375" style="45"/>
  </cols>
  <sheetData>
    <row r="1" spans="1:16384" x14ac:dyDescent="0.3">
      <c r="A1" s="43" t="s">
        <v>171</v>
      </c>
      <c r="B1" s="44" t="s">
        <v>172</v>
      </c>
      <c r="C1" s="44" t="s">
        <v>287</v>
      </c>
      <c r="D1" s="44" t="s">
        <v>301</v>
      </c>
      <c r="E1" s="44" t="s">
        <v>302</v>
      </c>
      <c r="F1" s="44" t="s">
        <v>313</v>
      </c>
    </row>
    <row r="2" spans="1:16384" ht="21" x14ac:dyDescent="0.3">
      <c r="A2" s="102" t="s">
        <v>480</v>
      </c>
      <c r="B2" s="89"/>
    </row>
    <row r="3" spans="1:16384" x14ac:dyDescent="0.3">
      <c r="A3" s="103" t="s">
        <v>246</v>
      </c>
      <c r="B3" s="89"/>
    </row>
    <row r="4" spans="1:16384" x14ac:dyDescent="0.3">
      <c r="A4" s="48" t="s">
        <v>155</v>
      </c>
      <c r="B4" s="117"/>
    </row>
    <row r="5" spans="1:16384" x14ac:dyDescent="0.3">
      <c r="A5" s="48" t="s">
        <v>156</v>
      </c>
      <c r="B5" s="117"/>
    </row>
    <row r="6" spans="1:16384" x14ac:dyDescent="0.3">
      <c r="A6" s="48" t="s">
        <v>157</v>
      </c>
      <c r="B6" s="117"/>
    </row>
    <row r="7" spans="1:16384" s="85" customFormat="1" hidden="1" x14ac:dyDescent="0.3">
      <c r="A7" s="125" t="s">
        <v>288</v>
      </c>
      <c r="B7" s="99" t="str">
        <f>IF(B6 = "Permanent Supportive Housing", "PSH", IF(B6 = "Rapid Re-Housing", "RRH", IF(B6 = "Transitional Housing", "TH", "")))</f>
        <v/>
      </c>
      <c r="D7" s="90">
        <f>IF(B7 = "RRH", 0, IF(B7 = "PSH", 1, IF(B7 = "TH", 2, 0)))</f>
        <v>0</v>
      </c>
      <c r="F7" s="122" t="s">
        <v>376</v>
      </c>
    </row>
    <row r="8" spans="1:16384" s="85" customFormat="1" x14ac:dyDescent="0.3">
      <c r="A8" s="103" t="s">
        <v>429</v>
      </c>
      <c r="B8" s="47"/>
      <c r="C8" s="45"/>
      <c r="D8" s="45"/>
      <c r="E8" s="45"/>
      <c r="F8" s="47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spans="1:16384" x14ac:dyDescent="0.3">
      <c r="A9" s="46" t="s">
        <v>496</v>
      </c>
      <c r="B9" s="117"/>
    </row>
    <row r="10" spans="1:16384" x14ac:dyDescent="0.3">
      <c r="A10" s="46" t="s">
        <v>495</v>
      </c>
      <c r="B10" s="117"/>
    </row>
    <row r="11" spans="1:16384" x14ac:dyDescent="0.3">
      <c r="A11" s="46" t="s">
        <v>494</v>
      </c>
      <c r="B11" s="117"/>
    </row>
    <row r="12" spans="1:16384" x14ac:dyDescent="0.3">
      <c r="A12" s="46" t="s">
        <v>493</v>
      </c>
      <c r="B12" s="117"/>
    </row>
    <row r="13" spans="1:16384" x14ac:dyDescent="0.3">
      <c r="A13" s="46" t="s">
        <v>492</v>
      </c>
      <c r="B13" s="117"/>
    </row>
    <row r="14" spans="1:16384" x14ac:dyDescent="0.3">
      <c r="A14" s="46" t="s">
        <v>491</v>
      </c>
      <c r="B14" s="117"/>
    </row>
    <row r="15" spans="1:16384" x14ac:dyDescent="0.3">
      <c r="A15" s="46" t="s">
        <v>399</v>
      </c>
      <c r="B15" s="117"/>
    </row>
    <row r="16" spans="1:16384" x14ac:dyDescent="0.3">
      <c r="A16" s="46" t="s">
        <v>490</v>
      </c>
      <c r="B16" s="117"/>
    </row>
    <row r="17" spans="1:2" x14ac:dyDescent="0.3">
      <c r="A17" s="46" t="s">
        <v>411</v>
      </c>
      <c r="B17" s="117"/>
    </row>
    <row r="18" spans="1:2" x14ac:dyDescent="0.3">
      <c r="A18" s="46" t="s">
        <v>410</v>
      </c>
      <c r="B18" s="117"/>
    </row>
    <row r="19" spans="1:2" x14ac:dyDescent="0.3">
      <c r="A19" s="46" t="s">
        <v>489</v>
      </c>
      <c r="B19" s="117"/>
    </row>
    <row r="20" spans="1:2" x14ac:dyDescent="0.3">
      <c r="A20" s="104" t="s">
        <v>186</v>
      </c>
    </row>
    <row r="21" spans="1:2" x14ac:dyDescent="0.3">
      <c r="A21" s="46" t="s">
        <v>435</v>
      </c>
      <c r="B21" s="117"/>
    </row>
    <row r="22" spans="1:2" x14ac:dyDescent="0.3">
      <c r="A22" s="46" t="s">
        <v>436</v>
      </c>
      <c r="B22" s="117"/>
    </row>
    <row r="23" spans="1:2" x14ac:dyDescent="0.3">
      <c r="A23" s="46" t="s">
        <v>437</v>
      </c>
      <c r="B23" s="117"/>
    </row>
    <row r="24" spans="1:2" x14ac:dyDescent="0.3">
      <c r="A24" s="46" t="s">
        <v>438</v>
      </c>
      <c r="B24" s="117"/>
    </row>
    <row r="25" spans="1:2" x14ac:dyDescent="0.3">
      <c r="A25" s="104" t="s">
        <v>431</v>
      </c>
    </row>
    <row r="26" spans="1:2" x14ac:dyDescent="0.3">
      <c r="A26" s="46" t="s">
        <v>439</v>
      </c>
      <c r="B26" s="117"/>
    </row>
    <row r="27" spans="1:2" x14ac:dyDescent="0.3">
      <c r="A27" s="46" t="s">
        <v>440</v>
      </c>
      <c r="B27" s="117"/>
    </row>
    <row r="28" spans="1:2" x14ac:dyDescent="0.3">
      <c r="A28" s="104" t="s">
        <v>188</v>
      </c>
    </row>
    <row r="29" spans="1:2" x14ac:dyDescent="0.3">
      <c r="A29" s="46" t="s">
        <v>435</v>
      </c>
      <c r="B29" s="117"/>
    </row>
    <row r="30" spans="1:2" x14ac:dyDescent="0.3">
      <c r="A30" s="46" t="s">
        <v>436</v>
      </c>
      <c r="B30" s="117"/>
    </row>
    <row r="31" spans="1:2" x14ac:dyDescent="0.3">
      <c r="A31" s="46" t="s">
        <v>437</v>
      </c>
      <c r="B31" s="117"/>
    </row>
    <row r="32" spans="1:2" x14ac:dyDescent="0.3">
      <c r="A32" s="46" t="s">
        <v>438</v>
      </c>
      <c r="B32" s="117"/>
    </row>
    <row r="33" spans="1:6" x14ac:dyDescent="0.3">
      <c r="A33" s="104" t="s">
        <v>432</v>
      </c>
    </row>
    <row r="34" spans="1:6" x14ac:dyDescent="0.3">
      <c r="A34" s="46" t="s">
        <v>441</v>
      </c>
      <c r="B34" s="117"/>
    </row>
    <row r="35" spans="1:6" x14ac:dyDescent="0.3">
      <c r="A35" s="104" t="s">
        <v>433</v>
      </c>
    </row>
    <row r="36" spans="1:6" x14ac:dyDescent="0.3">
      <c r="A36" s="46" t="s">
        <v>442</v>
      </c>
      <c r="B36" s="117"/>
    </row>
    <row r="37" spans="1:6" x14ac:dyDescent="0.3">
      <c r="A37" s="46" t="s">
        <v>443</v>
      </c>
      <c r="B37" s="117"/>
    </row>
    <row r="38" spans="1:6" x14ac:dyDescent="0.3">
      <c r="A38" s="104" t="s">
        <v>434</v>
      </c>
    </row>
    <row r="39" spans="1:6" x14ac:dyDescent="0.3">
      <c r="A39" s="46" t="s">
        <v>444</v>
      </c>
      <c r="B39" s="117"/>
      <c r="F39" s="123" t="s">
        <v>409</v>
      </c>
    </row>
    <row r="40" spans="1:6" x14ac:dyDescent="0.3">
      <c r="A40" s="104" t="s">
        <v>445</v>
      </c>
    </row>
    <row r="41" spans="1:6" x14ac:dyDescent="0.3">
      <c r="A41" s="46" t="s">
        <v>542</v>
      </c>
      <c r="B41" s="117"/>
      <c r="F41" s="123" t="s">
        <v>412</v>
      </c>
    </row>
    <row r="42" spans="1:6" x14ac:dyDescent="0.3">
      <c r="A42" s="46" t="s">
        <v>446</v>
      </c>
      <c r="B42" s="117"/>
      <c r="F42" s="123" t="s">
        <v>383</v>
      </c>
    </row>
    <row r="43" spans="1:6" x14ac:dyDescent="0.3">
      <c r="A43" s="104" t="s">
        <v>384</v>
      </c>
    </row>
    <row r="44" spans="1:6" x14ac:dyDescent="0.3">
      <c r="A44" s="46" t="s">
        <v>447</v>
      </c>
      <c r="B44" s="117"/>
    </row>
    <row r="45" spans="1:6" x14ac:dyDescent="0.3">
      <c r="A45" s="104" t="s">
        <v>448</v>
      </c>
    </row>
    <row r="46" spans="1:6" x14ac:dyDescent="0.3">
      <c r="A46" s="46" t="s">
        <v>449</v>
      </c>
      <c r="B46" s="117"/>
    </row>
    <row r="47" spans="1:6" x14ac:dyDescent="0.3">
      <c r="A47" s="104" t="s">
        <v>391</v>
      </c>
      <c r="D47" s="89"/>
      <c r="E47" s="89"/>
      <c r="F47" s="124"/>
    </row>
    <row r="48" spans="1:6" x14ac:dyDescent="0.3">
      <c r="A48" s="46" t="s">
        <v>450</v>
      </c>
      <c r="B48" s="117"/>
    </row>
    <row r="49" spans="1:6" x14ac:dyDescent="0.3">
      <c r="A49" s="46" t="s">
        <v>451</v>
      </c>
      <c r="B49" s="117"/>
    </row>
    <row r="50" spans="1:6" x14ac:dyDescent="0.3">
      <c r="A50" s="104" t="s">
        <v>397</v>
      </c>
      <c r="D50" s="89"/>
      <c r="E50" s="89"/>
      <c r="F50" s="124"/>
    </row>
    <row r="51" spans="1:6" x14ac:dyDescent="0.3">
      <c r="A51" s="46" t="s">
        <v>452</v>
      </c>
      <c r="B51" s="117"/>
    </row>
    <row r="52" spans="1:6" x14ac:dyDescent="0.3">
      <c r="A52" s="46" t="s">
        <v>453</v>
      </c>
      <c r="B52" s="117"/>
    </row>
    <row r="53" spans="1:6" x14ac:dyDescent="0.3">
      <c r="A53" s="46" t="s">
        <v>454</v>
      </c>
      <c r="B53" s="117"/>
      <c r="D53" s="89"/>
      <c r="E53" s="89"/>
      <c r="F53" s="123" t="s">
        <v>426</v>
      </c>
    </row>
    <row r="54" spans="1:6" x14ac:dyDescent="0.3">
      <c r="A54" s="104" t="s">
        <v>430</v>
      </c>
    </row>
    <row r="55" spans="1:6" x14ac:dyDescent="0.3">
      <c r="A55" s="46" t="s">
        <v>455</v>
      </c>
      <c r="B55" s="117"/>
      <c r="F55" s="47" t="s">
        <v>372</v>
      </c>
    </row>
    <row r="56" spans="1:6" x14ac:dyDescent="0.3">
      <c r="A56" s="46" t="s">
        <v>456</v>
      </c>
      <c r="B56" s="117"/>
      <c r="F56" s="47" t="s">
        <v>373</v>
      </c>
    </row>
    <row r="57" spans="1:6" x14ac:dyDescent="0.3">
      <c r="A57" s="46" t="s">
        <v>457</v>
      </c>
      <c r="B57" s="117"/>
      <c r="F57" s="47" t="s">
        <v>374</v>
      </c>
    </row>
    <row r="58" spans="1:6" x14ac:dyDescent="0.3">
      <c r="A58" s="46" t="s">
        <v>458</v>
      </c>
      <c r="B58" s="117"/>
      <c r="F58" s="47" t="s">
        <v>375</v>
      </c>
    </row>
    <row r="59" spans="1:6" x14ac:dyDescent="0.3">
      <c r="A59" s="104" t="s">
        <v>459</v>
      </c>
    </row>
    <row r="60" spans="1:6" x14ac:dyDescent="0.3">
      <c r="A60" s="46" t="s">
        <v>460</v>
      </c>
      <c r="B60" s="117"/>
      <c r="F60" s="47" t="s">
        <v>379</v>
      </c>
    </row>
    <row r="61" spans="1:6" x14ac:dyDescent="0.3">
      <c r="A61" s="104" t="s">
        <v>461</v>
      </c>
    </row>
    <row r="62" spans="1:6" x14ac:dyDescent="0.3">
      <c r="A62" s="46" t="s">
        <v>462</v>
      </c>
      <c r="B62" s="117"/>
      <c r="F62" s="47" t="s">
        <v>378</v>
      </c>
    </row>
    <row r="63" spans="1:6" x14ac:dyDescent="0.3">
      <c r="A63" s="104" t="s">
        <v>382</v>
      </c>
    </row>
    <row r="64" spans="1:6" x14ac:dyDescent="0.3">
      <c r="A64" s="46" t="s">
        <v>468</v>
      </c>
      <c r="B64" s="117"/>
      <c r="F64" s="124"/>
    </row>
    <row r="65" spans="1:6" x14ac:dyDescent="0.3">
      <c r="A65" s="46" t="s">
        <v>467</v>
      </c>
      <c r="B65" s="117"/>
      <c r="F65" s="124"/>
    </row>
    <row r="66" spans="1:6" x14ac:dyDescent="0.3">
      <c r="A66" s="46" t="s">
        <v>471</v>
      </c>
      <c r="B66" s="117"/>
      <c r="F66" s="124"/>
    </row>
    <row r="67" spans="1:6" x14ac:dyDescent="0.3">
      <c r="A67" s="46" t="s">
        <v>472</v>
      </c>
      <c r="B67" s="117"/>
      <c r="F67" s="124"/>
    </row>
    <row r="68" spans="1:6" x14ac:dyDescent="0.3">
      <c r="A68" s="46" t="s">
        <v>473</v>
      </c>
      <c r="B68" s="117"/>
      <c r="F68" s="124"/>
    </row>
    <row r="69" spans="1:6" x14ac:dyDescent="0.3">
      <c r="A69" s="46" t="s">
        <v>474</v>
      </c>
      <c r="B69" s="117"/>
      <c r="F69" s="124"/>
    </row>
    <row r="70" spans="1:6" x14ac:dyDescent="0.3">
      <c r="A70" s="46" t="s">
        <v>470</v>
      </c>
      <c r="B70" s="117"/>
      <c r="F70" s="124"/>
    </row>
    <row r="71" spans="1:6" x14ac:dyDescent="0.3">
      <c r="A71" s="46" t="s">
        <v>469</v>
      </c>
      <c r="B71" s="117"/>
    </row>
    <row r="72" spans="1:6" x14ac:dyDescent="0.3">
      <c r="A72" s="46" t="s">
        <v>524</v>
      </c>
      <c r="B72" s="117"/>
    </row>
    <row r="73" spans="1:6" x14ac:dyDescent="0.3">
      <c r="A73" s="46" t="s">
        <v>486</v>
      </c>
      <c r="B73" s="117"/>
    </row>
    <row r="74" spans="1:6" x14ac:dyDescent="0.3">
      <c r="A74" s="46" t="s">
        <v>476</v>
      </c>
      <c r="B74" s="117"/>
    </row>
    <row r="75" spans="1:6" x14ac:dyDescent="0.3">
      <c r="A75" s="46" t="s">
        <v>477</v>
      </c>
      <c r="B75" s="117"/>
    </row>
    <row r="76" spans="1:6" x14ac:dyDescent="0.3">
      <c r="A76" s="46" t="s">
        <v>478</v>
      </c>
      <c r="B76" s="117"/>
    </row>
    <row r="77" spans="1:6" x14ac:dyDescent="0.3">
      <c r="A77" s="46" t="s">
        <v>475</v>
      </c>
      <c r="B77" s="117"/>
    </row>
    <row r="78" spans="1:6" x14ac:dyDescent="0.3">
      <c r="A78" s="104" t="s">
        <v>463</v>
      </c>
    </row>
    <row r="79" spans="1:6" x14ac:dyDescent="0.3">
      <c r="A79" s="46" t="s">
        <v>464</v>
      </c>
      <c r="B79" s="117"/>
      <c r="F79" s="47" t="s">
        <v>363</v>
      </c>
    </row>
    <row r="80" spans="1:6" x14ac:dyDescent="0.3">
      <c r="A80" s="104" t="s">
        <v>465</v>
      </c>
    </row>
    <row r="81" spans="1:6" x14ac:dyDescent="0.3">
      <c r="A81" s="46" t="s">
        <v>466</v>
      </c>
      <c r="B81" s="117"/>
      <c r="F81" s="47" t="s">
        <v>364</v>
      </c>
    </row>
    <row r="82" spans="1:6" x14ac:dyDescent="0.3">
      <c r="A82" s="103" t="s">
        <v>479</v>
      </c>
    </row>
    <row r="83" spans="1:6" s="85" customFormat="1" x14ac:dyDescent="0.3">
      <c r="A83" s="88" t="s">
        <v>359</v>
      </c>
      <c r="B83" s="99">
        <f>Input!C4</f>
        <v>0</v>
      </c>
      <c r="F83" s="122" t="s">
        <v>427</v>
      </c>
    </row>
    <row r="84" spans="1:6" s="85" customFormat="1" x14ac:dyDescent="0.3">
      <c r="A84" s="88" t="s">
        <v>360</v>
      </c>
      <c r="B84" s="99">
        <f>Input!C5</f>
        <v>0</v>
      </c>
      <c r="F84" s="122" t="s">
        <v>427</v>
      </c>
    </row>
    <row r="85" spans="1:6" s="85" customFormat="1" x14ac:dyDescent="0.3">
      <c r="A85" s="88" t="s">
        <v>254</v>
      </c>
      <c r="B85" s="99">
        <f>Input!C6</f>
        <v>0</v>
      </c>
      <c r="F85" s="122" t="s">
        <v>427</v>
      </c>
    </row>
    <row r="86" spans="1:6" ht="21" x14ac:dyDescent="0.3">
      <c r="A86" s="131" t="s">
        <v>205</v>
      </c>
      <c r="B86" s="89"/>
    </row>
    <row r="87" spans="1:6" x14ac:dyDescent="0.3">
      <c r="A87" s="104" t="s">
        <v>480</v>
      </c>
      <c r="B87" s="89"/>
    </row>
    <row r="88" spans="1:6" s="85" customFormat="1" x14ac:dyDescent="0.3">
      <c r="A88" s="48" t="str">
        <f>$A$54 &amp; " : " &amp; A55</f>
        <v>Length of Participation - CoC Projects (22a1) : 30 Days or Less; Leavers</v>
      </c>
      <c r="B88" s="99">
        <f>B55</f>
        <v>0</v>
      </c>
      <c r="C88" s="45"/>
      <c r="D88" s="45"/>
      <c r="E88" s="45"/>
      <c r="F88" s="124" t="s">
        <v>481</v>
      </c>
    </row>
    <row r="89" spans="1:6" s="85" customFormat="1" x14ac:dyDescent="0.3">
      <c r="A89" s="48" t="str">
        <f>$A$54 &amp; " : " &amp; A56</f>
        <v>Length of Participation - CoC Projects (22a1) : 31-60 Days; Leavers</v>
      </c>
      <c r="B89" s="99">
        <f>B56</f>
        <v>0</v>
      </c>
      <c r="C89" s="45"/>
      <c r="D89" s="45"/>
      <c r="E89" s="45"/>
      <c r="F89" s="124" t="s">
        <v>481</v>
      </c>
    </row>
    <row r="90" spans="1:6" s="85" customFormat="1" x14ac:dyDescent="0.3">
      <c r="A90" s="48" t="str">
        <f>$A$54 &amp; " : " &amp; A57</f>
        <v>Length of Participation - CoC Projects (22a1) : 61-90 Days; Leavers</v>
      </c>
      <c r="B90" s="99">
        <f>B57</f>
        <v>0</v>
      </c>
      <c r="C90" s="45"/>
      <c r="D90" s="45"/>
      <c r="E90" s="45"/>
      <c r="F90" s="124" t="s">
        <v>481</v>
      </c>
    </row>
    <row r="91" spans="1:6" s="85" customFormat="1" x14ac:dyDescent="0.3">
      <c r="A91" s="48" t="str">
        <f>$A$54 &amp; " : " &amp; A58</f>
        <v>Length of Participation - CoC Projects (22a1) : 91-180 Days; Leavers</v>
      </c>
      <c r="B91" s="99">
        <f>B58</f>
        <v>0</v>
      </c>
      <c r="C91" s="45"/>
      <c r="D91" s="45"/>
      <c r="E91" s="45"/>
      <c r="F91" s="124" t="s">
        <v>481</v>
      </c>
    </row>
    <row r="92" spans="1:6" s="85" customFormat="1" x14ac:dyDescent="0.3">
      <c r="A92" s="48" t="str">
        <f>$A$59 &amp; " : " &amp; A60</f>
        <v>Average and Median Length of Participation in Days (22b) : Average Length; Leavers</v>
      </c>
      <c r="B92" s="99">
        <f>B60</f>
        <v>0</v>
      </c>
      <c r="C92" s="45"/>
      <c r="D92" s="45"/>
      <c r="E92" s="45"/>
      <c r="F92" s="124" t="s">
        <v>481</v>
      </c>
    </row>
    <row r="93" spans="1:6" s="85" customFormat="1" x14ac:dyDescent="0.3">
      <c r="A93" s="48" t="str">
        <f>$A$61 &amp; " : " &amp; A62</f>
        <v>Length of Time between Project Start Date and Housing Move-in Date (22c) : Average length of time to housing; Total</v>
      </c>
      <c r="B93" s="99">
        <f>B62</f>
        <v>0</v>
      </c>
      <c r="C93" s="45"/>
      <c r="D93" s="45"/>
      <c r="E93" s="45"/>
      <c r="F93" s="124" t="s">
        <v>481</v>
      </c>
    </row>
    <row r="94" spans="1:6" s="85" customFormat="1" x14ac:dyDescent="0.3">
      <c r="A94" s="104" t="s">
        <v>483</v>
      </c>
      <c r="B94" s="47"/>
      <c r="C94" s="45"/>
      <c r="D94" s="45"/>
      <c r="E94" s="45"/>
      <c r="F94" s="47"/>
    </row>
    <row r="95" spans="1:6" x14ac:dyDescent="0.3">
      <c r="A95" s="86" t="s">
        <v>202</v>
      </c>
      <c r="B95" s="99">
        <f>SUM(B88:B91)</f>
        <v>0</v>
      </c>
      <c r="F95" s="124" t="s">
        <v>487</v>
      </c>
    </row>
    <row r="96" spans="1:6" s="85" customFormat="1" x14ac:dyDescent="0.3">
      <c r="A96" s="104" t="s">
        <v>482</v>
      </c>
      <c r="B96" s="47"/>
      <c r="C96" s="45"/>
      <c r="D96" s="45"/>
      <c r="E96" s="45"/>
      <c r="F96" s="47"/>
    </row>
    <row r="97" spans="1:6" x14ac:dyDescent="0.3">
      <c r="A97" s="46" t="s">
        <v>203</v>
      </c>
      <c r="B97" s="99" t="b">
        <f>IF(B9 &gt; 0, IF(B95 &gt; C97, FALSE, TRUE), FALSE)</f>
        <v>0</v>
      </c>
      <c r="C97" s="120">
        <v>0</v>
      </c>
      <c r="D97" s="87">
        <f>IF(OR($B$7 = "TH", $B$7 = "RRH"), 0, 5)</f>
        <v>5</v>
      </c>
      <c r="E97" s="87">
        <f>IF(B97 = TRUE, D97, 0)</f>
        <v>0</v>
      </c>
      <c r="F97" s="124" t="s">
        <v>577</v>
      </c>
    </row>
    <row r="98" spans="1:6" x14ac:dyDescent="0.3">
      <c r="A98" s="86" t="s">
        <v>484</v>
      </c>
      <c r="B98" s="99" t="b">
        <f>IF(B92 &lt; C98, TRUE, FALSE)</f>
        <v>1</v>
      </c>
      <c r="C98" s="120">
        <v>180</v>
      </c>
      <c r="D98" s="90">
        <f>IF($B$7 = "TH", 5, 0)</f>
        <v>0</v>
      </c>
      <c r="E98" s="87">
        <f t="shared" ref="E98:E99" si="0">IF(B98 = TRUE, D98, 0)</f>
        <v>0</v>
      </c>
      <c r="F98" s="124" t="s">
        <v>576</v>
      </c>
    </row>
    <row r="99" spans="1:6" x14ac:dyDescent="0.3">
      <c r="A99" s="86" t="s">
        <v>485</v>
      </c>
      <c r="B99" s="99" t="b">
        <f>IF(B93 &lt; C99, TRUE, FALSE)</f>
        <v>1</v>
      </c>
      <c r="C99" s="120">
        <v>30</v>
      </c>
      <c r="D99" s="90">
        <f>IF($B$7 = "RRH", 5, 0)</f>
        <v>0</v>
      </c>
      <c r="E99" s="87">
        <f t="shared" si="0"/>
        <v>0</v>
      </c>
      <c r="F99" s="124" t="s">
        <v>576</v>
      </c>
    </row>
    <row r="100" spans="1:6" ht="21" hidden="1" x14ac:dyDescent="0.3">
      <c r="A100" s="119" t="s">
        <v>556</v>
      </c>
      <c r="B100" s="89"/>
    </row>
    <row r="101" spans="1:6" ht="21" x14ac:dyDescent="0.3">
      <c r="A101" s="131" t="s">
        <v>163</v>
      </c>
      <c r="B101" s="89"/>
    </row>
    <row r="102" spans="1:6" x14ac:dyDescent="0.3">
      <c r="A102" s="104" t="s">
        <v>480</v>
      </c>
    </row>
    <row r="103" spans="1:6" x14ac:dyDescent="0.3">
      <c r="A103" s="48" t="str">
        <f>$A$8 &amp; " : " &amp; A13</f>
        <v>Report Validations Table (5a) : Total Number of Leavers (5a.5)</v>
      </c>
      <c r="B103" s="99">
        <f>B13</f>
        <v>0</v>
      </c>
      <c r="F103" s="124" t="s">
        <v>481</v>
      </c>
    </row>
    <row r="104" spans="1:6" ht="28.8" x14ac:dyDescent="0.3">
      <c r="A104" s="48" t="str">
        <f>$A$63 &amp; " : " &amp; A65</f>
        <v>Exit Destination - All persons (23c) : Temporary Destinations &gt; Emergency shelter, including hotel or motel paid for with emergency shelter voucher; Total</v>
      </c>
      <c r="B104" s="99">
        <f>B65</f>
        <v>0</v>
      </c>
      <c r="F104" s="124" t="s">
        <v>481</v>
      </c>
    </row>
    <row r="105" spans="1:6" x14ac:dyDescent="0.3">
      <c r="A105" s="48" t="str">
        <f>$A$63 &amp; " : " &amp; A66</f>
        <v>Exit Destination - All persons (23c) : Temporary Destinations &gt; Moved from one HOPWA funded project to HOPWA TH; Total</v>
      </c>
      <c r="B105" s="99">
        <f>B66</f>
        <v>0</v>
      </c>
      <c r="F105" s="124" t="s">
        <v>481</v>
      </c>
    </row>
    <row r="106" spans="1:6" x14ac:dyDescent="0.3">
      <c r="A106" s="48" t="str">
        <f>$A$63 &amp; " : " &amp; A67</f>
        <v>Exit Destination - All persons (23c) : Temporary Destinations &gt; Transitional housing for homeless persons (including homeless youth); Total</v>
      </c>
      <c r="B106" s="99">
        <f>B67</f>
        <v>0</v>
      </c>
      <c r="F106" s="124" t="s">
        <v>481</v>
      </c>
    </row>
    <row r="107" spans="1:6" x14ac:dyDescent="0.3">
      <c r="A107" s="48" t="str">
        <f>$A$63 &amp; " : " &amp; A68</f>
        <v>Exit Destination - All persons (23c) : Temporary Destinations &gt; Place not meant for habitation; Total</v>
      </c>
      <c r="B107" s="99">
        <f>B68</f>
        <v>0</v>
      </c>
      <c r="F107" s="124" t="s">
        <v>481</v>
      </c>
    </row>
    <row r="108" spans="1:6" x14ac:dyDescent="0.3">
      <c r="A108" s="48" t="str">
        <f>$A$63 &amp; " : " &amp; A69</f>
        <v>Exit Destination - All persons (23c) : Temporary Destinations &gt; Safe Haven; Total</v>
      </c>
      <c r="B108" s="99">
        <f>B69</f>
        <v>0</v>
      </c>
      <c r="F108" s="124" t="s">
        <v>481</v>
      </c>
    </row>
    <row r="109" spans="1:6" x14ac:dyDescent="0.3">
      <c r="A109" s="48" t="str">
        <f>$A$63 &amp; " : " &amp; A73</f>
        <v>Exit Destination - All persons (23c) : Other Destinations &gt; Deceased; Total</v>
      </c>
      <c r="B109" s="99">
        <f>B73</f>
        <v>0</v>
      </c>
      <c r="F109" s="124" t="s">
        <v>481</v>
      </c>
    </row>
    <row r="110" spans="1:6" x14ac:dyDescent="0.3">
      <c r="A110" s="48" t="str">
        <f>$A$63 &amp; " : " &amp; A74</f>
        <v>Exit Destination - All persons (23c) : Other Destinations &gt; Other; Total</v>
      </c>
      <c r="B110" s="99">
        <f t="shared" ref="B110:B112" si="1">B74</f>
        <v>0</v>
      </c>
      <c r="F110" s="124" t="s">
        <v>481</v>
      </c>
    </row>
    <row r="111" spans="1:6" x14ac:dyDescent="0.3">
      <c r="A111" s="48" t="str">
        <f>$A$63 &amp; " : " &amp; A75</f>
        <v>Exit Destination - All persons (23c) : Other Destinations &gt; Client Doesn’t Know/Client Refused; Total</v>
      </c>
      <c r="B111" s="99">
        <f t="shared" si="1"/>
        <v>0</v>
      </c>
      <c r="F111" s="124" t="s">
        <v>481</v>
      </c>
    </row>
    <row r="112" spans="1:6" x14ac:dyDescent="0.3">
      <c r="A112" s="48" t="str">
        <f>$A$63 &amp; " : " &amp; A76</f>
        <v>Exit Destination - All persons (23c) : Other Destinations &gt; Data Not Collected (no exit interview completed); Total</v>
      </c>
      <c r="B112" s="99">
        <f t="shared" si="1"/>
        <v>0</v>
      </c>
      <c r="F112" s="124" t="s">
        <v>481</v>
      </c>
    </row>
    <row r="113" spans="1:6" x14ac:dyDescent="0.3">
      <c r="A113" s="104" t="s">
        <v>483</v>
      </c>
    </row>
    <row r="114" spans="1:6" x14ac:dyDescent="0.3">
      <c r="A114" s="46" t="s">
        <v>380</v>
      </c>
      <c r="B114" s="99">
        <f>SUM(B103, (-1*B109))</f>
        <v>0</v>
      </c>
      <c r="F114" s="124" t="s">
        <v>381</v>
      </c>
    </row>
    <row r="115" spans="1:6" x14ac:dyDescent="0.3">
      <c r="A115" s="46" t="s">
        <v>515</v>
      </c>
      <c r="B115" s="99">
        <f>SUM(B104,B105,B106,B107,B108)</f>
        <v>0</v>
      </c>
      <c r="F115" s="124" t="s">
        <v>516</v>
      </c>
    </row>
    <row r="116" spans="1:6" x14ac:dyDescent="0.3">
      <c r="A116" s="46" t="s">
        <v>513</v>
      </c>
      <c r="B116" s="99">
        <f>SUM(B110:B112)</f>
        <v>0</v>
      </c>
      <c r="F116" s="124" t="s">
        <v>514</v>
      </c>
    </row>
    <row r="117" spans="1:6" x14ac:dyDescent="0.3">
      <c r="A117" s="46" t="s">
        <v>488</v>
      </c>
      <c r="B117" s="99">
        <f>SUM(B115,B116)</f>
        <v>0</v>
      </c>
      <c r="F117" s="124" t="s">
        <v>517</v>
      </c>
    </row>
    <row r="118" spans="1:6" x14ac:dyDescent="0.3">
      <c r="A118" s="104" t="s">
        <v>482</v>
      </c>
      <c r="B118" s="89"/>
    </row>
    <row r="119" spans="1:6" x14ac:dyDescent="0.3">
      <c r="A119" s="86" t="s">
        <v>164</v>
      </c>
      <c r="B119" s="121">
        <f>IFERROR(ROUND(B117 / B114, 2), 0)</f>
        <v>0</v>
      </c>
      <c r="C119" s="111">
        <v>0.1</v>
      </c>
      <c r="D119" s="87">
        <v>5</v>
      </c>
      <c r="E119" s="87">
        <f>IF(B9 &gt; 0, IF(B119 &lt;= C119, D119, 0), 0)</f>
        <v>0</v>
      </c>
      <c r="F119" s="124" t="s">
        <v>578</v>
      </c>
    </row>
    <row r="120" spans="1:6" ht="21" hidden="1" x14ac:dyDescent="0.3">
      <c r="A120" s="119" t="s">
        <v>556</v>
      </c>
      <c r="B120" s="89"/>
    </row>
    <row r="121" spans="1:6" ht="21" x14ac:dyDescent="0.3">
      <c r="A121" s="131" t="s">
        <v>226</v>
      </c>
      <c r="B121" s="89"/>
    </row>
    <row r="122" spans="1:6" x14ac:dyDescent="0.3">
      <c r="A122" s="104" t="s">
        <v>480</v>
      </c>
    </row>
    <row r="123" spans="1:6" x14ac:dyDescent="0.3">
      <c r="A123" s="48" t="str">
        <f>$A$8 &amp; " : " &amp; A13</f>
        <v>Report Validations Table (5a) : Total Number of Leavers (5a.5)</v>
      </c>
      <c r="B123" s="99">
        <f>B13</f>
        <v>0</v>
      </c>
      <c r="F123" s="124" t="s">
        <v>400</v>
      </c>
    </row>
    <row r="124" spans="1:6" x14ac:dyDescent="0.3">
      <c r="A124" s="48" t="str">
        <f>$A$8 &amp; " : " &amp; A14</f>
        <v>Report Validations Table (5a) : Number of Adult Leavers (5a.6)</v>
      </c>
      <c r="B124" s="99">
        <f>B14</f>
        <v>0</v>
      </c>
      <c r="F124" s="124" t="s">
        <v>400</v>
      </c>
    </row>
    <row r="125" spans="1:6" x14ac:dyDescent="0.3">
      <c r="A125" s="48" t="str">
        <f>$A$8 &amp; " : " &amp; A15</f>
        <v>Report Validations Table (5a) : Total Number of Stayers (5a.8)</v>
      </c>
      <c r="B125" s="99">
        <f>B15</f>
        <v>0</v>
      </c>
      <c r="F125" s="124" t="s">
        <v>400</v>
      </c>
    </row>
    <row r="126" spans="1:6" x14ac:dyDescent="0.3">
      <c r="A126" s="48" t="str">
        <f>$A$8 &amp; " : " &amp; A16</f>
        <v>Report Validations Table (5a) : Number of Adult Stayers (5a.9)</v>
      </c>
      <c r="B126" s="99">
        <f>B16</f>
        <v>0</v>
      </c>
      <c r="F126" s="124" t="s">
        <v>400</v>
      </c>
    </row>
    <row r="127" spans="1:6" ht="28.8" x14ac:dyDescent="0.3">
      <c r="A127" s="48" t="str">
        <f>$A$40 &amp; " : " &amp; A42</f>
        <v>Client Cash Income Category - Earned/Other Income Category - by Start and Annual Assessment/Exit Status (18) : Number of adult stayers not yet required to have an annual assessment; (Stayers)</v>
      </c>
      <c r="B127" s="99">
        <f>B42</f>
        <v>0</v>
      </c>
      <c r="F127" s="124" t="s">
        <v>400</v>
      </c>
    </row>
    <row r="128" spans="1:6" ht="28.8" x14ac:dyDescent="0.3">
      <c r="A128" s="48" t="str">
        <f>$A$43 &amp; " : " &amp; A44</f>
        <v>Client Cash Income Change - Income Source - by Start and Latest Status (19a1) : Number of Adults with Any Income; Performance Measure: Adults who Gained or Increased Income from Start to Annual Assessment</v>
      </c>
      <c r="B128" s="99">
        <f>B44</f>
        <v>0</v>
      </c>
      <c r="F128" s="124" t="s">
        <v>400</v>
      </c>
    </row>
    <row r="129" spans="1:7" ht="28.8" x14ac:dyDescent="0.3">
      <c r="A129" s="48" t="str">
        <f>$A$45 &amp; " : " &amp; A46</f>
        <v xml:space="preserve">Client Cash Income Change - Income Source - by Start and Exit (19a2) : Number of Adults with Any Income; Performance Measure: Adults who Gained or Increased Income from Start to Exit </v>
      </c>
      <c r="B129" s="99">
        <f>B46</f>
        <v>0</v>
      </c>
      <c r="F129" s="124" t="s">
        <v>400</v>
      </c>
    </row>
    <row r="130" spans="1:7" x14ac:dyDescent="0.3">
      <c r="A130" s="48" t="str">
        <f>$A$47 &amp; " : " &amp; A48</f>
        <v>Number of Non-Cash Benefit Sources (20b) : 1+ Source(s); Benefit at Latest Annual Assessment for Stayers</v>
      </c>
      <c r="B130" s="99">
        <f>B48</f>
        <v>0</v>
      </c>
      <c r="F130" s="124" t="s">
        <v>400</v>
      </c>
    </row>
    <row r="131" spans="1:7" x14ac:dyDescent="0.3">
      <c r="A131" s="48" t="str">
        <f>$A$47 &amp; " : " &amp; A49</f>
        <v>Number of Non-Cash Benefit Sources (20b) : 1+ Source(s); Benefit at Exit for Leavers</v>
      </c>
      <c r="B131" s="99">
        <f>B49</f>
        <v>0</v>
      </c>
      <c r="F131" s="124" t="s">
        <v>400</v>
      </c>
    </row>
    <row r="132" spans="1:7" x14ac:dyDescent="0.3">
      <c r="A132" s="48" t="str">
        <f>$A$50 &amp; " : " &amp; A51</f>
        <v>Health Insurance (21) : No Health Insurance; At Annual Assessment for Stayers</v>
      </c>
      <c r="B132" s="99">
        <f>B51</f>
        <v>0</v>
      </c>
      <c r="F132" s="124" t="s">
        <v>400</v>
      </c>
    </row>
    <row r="133" spans="1:7" x14ac:dyDescent="0.3">
      <c r="A133" s="48" t="str">
        <f>$A$50 &amp; " : " &amp; A52</f>
        <v>Health Insurance (21) : No Health Insurance; At Exit for Leavers</v>
      </c>
      <c r="B133" s="99">
        <f>B52</f>
        <v>0</v>
      </c>
      <c r="F133" s="124" t="s">
        <v>400</v>
      </c>
    </row>
    <row r="134" spans="1:7" x14ac:dyDescent="0.3">
      <c r="A134" s="46" t="str">
        <f>$A$50 &amp; " : " &amp; A53</f>
        <v>Health Insurance (21) : Number of stayers not yet required to have an annual assessment</v>
      </c>
      <c r="B134" s="99">
        <f>B53</f>
        <v>0</v>
      </c>
      <c r="F134" s="124" t="s">
        <v>400</v>
      </c>
    </row>
    <row r="135" spans="1:7" x14ac:dyDescent="0.3">
      <c r="A135" s="104" t="s">
        <v>483</v>
      </c>
    </row>
    <row r="136" spans="1:7" x14ac:dyDescent="0.3">
      <c r="A136" s="86" t="s">
        <v>498</v>
      </c>
      <c r="B136" s="99">
        <f>SUM(B128,B129)</f>
        <v>0</v>
      </c>
      <c r="F136" s="124" t="s">
        <v>499</v>
      </c>
    </row>
    <row r="137" spans="1:7" x14ac:dyDescent="0.3">
      <c r="A137" s="86" t="s">
        <v>511</v>
      </c>
      <c r="B137" s="99">
        <f>SUM(B130, B131)</f>
        <v>0</v>
      </c>
      <c r="F137" s="124" t="s">
        <v>501</v>
      </c>
      <c r="G137" s="45" t="s">
        <v>512</v>
      </c>
    </row>
    <row r="138" spans="1:7" x14ac:dyDescent="0.3">
      <c r="A138" s="86" t="s">
        <v>390</v>
      </c>
      <c r="B138" s="99">
        <f>SUM(B124, B126, (-1*B127))</f>
        <v>0</v>
      </c>
      <c r="F138" s="124" t="s">
        <v>502</v>
      </c>
    </row>
    <row r="139" spans="1:7" x14ac:dyDescent="0.3">
      <c r="A139" s="86" t="s">
        <v>507</v>
      </c>
      <c r="B139" s="99">
        <f>SUM(B123, B125, (-1*B134))</f>
        <v>0</v>
      </c>
      <c r="F139" s="124" t="s">
        <v>497</v>
      </c>
    </row>
    <row r="140" spans="1:7" x14ac:dyDescent="0.3">
      <c r="A140" s="86" t="s">
        <v>503</v>
      </c>
      <c r="B140" s="99">
        <f>SUM(B132,B133)</f>
        <v>0</v>
      </c>
      <c r="F140" s="124" t="s">
        <v>508</v>
      </c>
    </row>
    <row r="141" spans="1:7" x14ac:dyDescent="0.3">
      <c r="A141" s="86" t="s">
        <v>505</v>
      </c>
      <c r="B141" s="99">
        <f>SUM(B139, (-1*B140))</f>
        <v>0</v>
      </c>
      <c r="F141" s="124" t="s">
        <v>506</v>
      </c>
    </row>
    <row r="142" spans="1:7" x14ac:dyDescent="0.3">
      <c r="A142" s="104" t="s">
        <v>482</v>
      </c>
      <c r="B142" s="89"/>
    </row>
    <row r="143" spans="1:7" x14ac:dyDescent="0.3">
      <c r="A143" s="86" t="s">
        <v>395</v>
      </c>
      <c r="B143" s="121">
        <f>IFERROR(ROUND(B136 / B138, 2), 0)</f>
        <v>0</v>
      </c>
      <c r="C143" s="111">
        <v>0.25</v>
      </c>
      <c r="D143" s="87">
        <v>15</v>
      </c>
      <c r="E143" s="87">
        <f>IF(B143 &gt; (C143+0.2), D143, IF(B143 &gt; (C143+0.1), ROUND((D143*0.66),0), IF(B143 &gt;= C143, ROUND((D143*0.33),0), 0)))</f>
        <v>0</v>
      </c>
      <c r="F143" s="124" t="s">
        <v>500</v>
      </c>
    </row>
    <row r="144" spans="1:7" x14ac:dyDescent="0.3">
      <c r="A144" s="86" t="s">
        <v>238</v>
      </c>
      <c r="B144" s="121">
        <f>IFERROR(ROUND(B137 / B138, 2), 0)</f>
        <v>0</v>
      </c>
      <c r="C144" s="111">
        <f ca="1">OFFSET(Thresholds!C11, 0, $D$7)</f>
        <v>0.85</v>
      </c>
      <c r="D144" s="87">
        <v>5</v>
      </c>
      <c r="E144" s="87">
        <f ca="1">IF(B144 &gt;= C144, D144, 0)</f>
        <v>0</v>
      </c>
      <c r="F144" s="122" t="s">
        <v>510</v>
      </c>
      <c r="G144" s="85"/>
    </row>
    <row r="145" spans="1:7" x14ac:dyDescent="0.3">
      <c r="A145" s="86" t="s">
        <v>504</v>
      </c>
      <c r="B145" s="121">
        <f>IFERROR(ROUND(B141 / B139, 2), 0)</f>
        <v>0</v>
      </c>
      <c r="C145" s="111">
        <f ca="1">OFFSET(Thresholds!C32, 0, $D$7)</f>
        <v>0.9</v>
      </c>
      <c r="D145" s="87">
        <v>5</v>
      </c>
      <c r="E145" s="87">
        <f ca="1">IF(B145 &gt;= C145, D145, 0)</f>
        <v>0</v>
      </c>
      <c r="F145" s="122" t="s">
        <v>509</v>
      </c>
      <c r="G145" s="85"/>
    </row>
    <row r="146" spans="1:7" ht="21" hidden="1" x14ac:dyDescent="0.3">
      <c r="A146" s="119" t="s">
        <v>556</v>
      </c>
      <c r="B146" s="89"/>
    </row>
    <row r="147" spans="1:7" ht="21" x14ac:dyDescent="0.3">
      <c r="A147" s="131" t="s">
        <v>183</v>
      </c>
      <c r="B147" s="89"/>
    </row>
    <row r="148" spans="1:7" x14ac:dyDescent="0.3">
      <c r="A148" s="104" t="s">
        <v>480</v>
      </c>
      <c r="B148" s="89"/>
    </row>
    <row r="149" spans="1:7" x14ac:dyDescent="0.3">
      <c r="A149" s="48" t="str">
        <f>$A$8 &amp; " : " &amp; A9</f>
        <v>Report Validations Table (5a) : Total Number of Persons Served  (5a.1)</v>
      </c>
      <c r="B149" s="99">
        <f>B9</f>
        <v>0</v>
      </c>
      <c r="F149" s="124" t="s">
        <v>400</v>
      </c>
    </row>
    <row r="150" spans="1:7" x14ac:dyDescent="0.3">
      <c r="A150" s="48" t="str">
        <f>$A$8 &amp; " : " &amp; A13</f>
        <v>Report Validations Table (5a) : Total Number of Leavers (5a.5)</v>
      </c>
      <c r="B150" s="99">
        <f>B13</f>
        <v>0</v>
      </c>
      <c r="F150" s="124" t="s">
        <v>400</v>
      </c>
    </row>
    <row r="151" spans="1:7" x14ac:dyDescent="0.3">
      <c r="A151" s="48" t="str">
        <f>$A$8 &amp; " : " &amp; A15</f>
        <v>Report Validations Table (5a) : Total Number of Stayers (5a.8)</v>
      </c>
      <c r="B151" s="99">
        <f>B15</f>
        <v>0</v>
      </c>
      <c r="F151" s="124" t="s">
        <v>400</v>
      </c>
    </row>
    <row r="152" spans="1:7" x14ac:dyDescent="0.3">
      <c r="A152" s="48" t="str">
        <f>$A$63 &amp; " : " &amp; A64</f>
        <v>Exit Destination - All persons (23c) : Permanent Destinations &gt; Subtotal; Total</v>
      </c>
      <c r="B152" s="99">
        <f>B64</f>
        <v>0</v>
      </c>
      <c r="F152" s="124" t="s">
        <v>400</v>
      </c>
    </row>
    <row r="153" spans="1:7" x14ac:dyDescent="0.3">
      <c r="A153" s="48" t="str">
        <f>$A$63 &amp; " : " &amp; A71</f>
        <v>Exit Destination - All persons (23c) : Institutional Destinations &gt; Subtotal; Total</v>
      </c>
      <c r="B153" s="99">
        <f>B71</f>
        <v>0</v>
      </c>
      <c r="F153" s="124" t="s">
        <v>400</v>
      </c>
    </row>
    <row r="154" spans="1:7" x14ac:dyDescent="0.3">
      <c r="A154" s="48" t="str">
        <f>$A$63 &amp; " : " &amp; A72</f>
        <v>Exit Destination - All persons (23c) : Other Destinations &gt; Residential project or halfway house with no homeless criteria; Total</v>
      </c>
      <c r="B154" s="99">
        <f>B72</f>
        <v>0</v>
      </c>
      <c r="F154" s="124" t="s">
        <v>400</v>
      </c>
    </row>
    <row r="155" spans="1:7" x14ac:dyDescent="0.3">
      <c r="A155" s="48" t="str">
        <f>$A$63 &amp; " : " &amp; A73</f>
        <v>Exit Destination - All persons (23c) : Other Destinations &gt; Deceased; Total</v>
      </c>
      <c r="B155" s="99">
        <f>B73</f>
        <v>0</v>
      </c>
      <c r="F155" s="124" t="s">
        <v>400</v>
      </c>
    </row>
    <row r="156" spans="1:7" x14ac:dyDescent="0.3">
      <c r="A156" s="104" t="s">
        <v>483</v>
      </c>
    </row>
    <row r="157" spans="1:7" x14ac:dyDescent="0.3">
      <c r="A157" s="46" t="s">
        <v>518</v>
      </c>
      <c r="B157" s="99">
        <f>SUM(B150, (-1*B153), (-1*B155))</f>
        <v>0</v>
      </c>
      <c r="F157" s="124" t="s">
        <v>519</v>
      </c>
    </row>
    <row r="158" spans="1:7" x14ac:dyDescent="0.3">
      <c r="A158" s="46" t="s">
        <v>522</v>
      </c>
      <c r="B158" s="99">
        <f>SUM(B151,B152)</f>
        <v>0</v>
      </c>
      <c r="F158" s="124" t="s">
        <v>523</v>
      </c>
    </row>
    <row r="159" spans="1:7" x14ac:dyDescent="0.3">
      <c r="A159" s="46" t="s">
        <v>525</v>
      </c>
      <c r="B159" s="99">
        <f>SUM(B149, (-1*B153), (-1*B154), (-1*B155))</f>
        <v>0</v>
      </c>
      <c r="F159" s="124" t="s">
        <v>526</v>
      </c>
    </row>
    <row r="160" spans="1:7" x14ac:dyDescent="0.3">
      <c r="A160" s="104" t="s">
        <v>482</v>
      </c>
      <c r="B160" s="89"/>
    </row>
    <row r="161" spans="1:6" x14ac:dyDescent="0.3">
      <c r="A161" s="86" t="s">
        <v>398</v>
      </c>
      <c r="B161" s="121">
        <f>IFERROR(ROUND(B152/B157, 2), 0)</f>
        <v>0</v>
      </c>
      <c r="C161" s="111">
        <v>0.45</v>
      </c>
      <c r="D161" s="87">
        <f>IF($B$7 = "TH", 15, 0)</f>
        <v>0</v>
      </c>
      <c r="E161" s="87">
        <f>IF(B161 &gt;= C161, D161, 0)</f>
        <v>0</v>
      </c>
      <c r="F161" s="124" t="s">
        <v>520</v>
      </c>
    </row>
    <row r="162" spans="1:6" x14ac:dyDescent="0.3">
      <c r="A162" s="86" t="s">
        <v>521</v>
      </c>
      <c r="B162" s="121">
        <f>IFERROR(ROUND(B158/B159, 2), 0)</f>
        <v>0</v>
      </c>
      <c r="C162" s="111">
        <v>0.95</v>
      </c>
      <c r="D162" s="87">
        <f>IF($B$7 = "TH", 0, 15)</f>
        <v>15</v>
      </c>
      <c r="E162" s="87">
        <f>IF(B162 &gt;= C162, D162, 0)</f>
        <v>0</v>
      </c>
      <c r="F162" s="124" t="s">
        <v>527</v>
      </c>
    </row>
    <row r="163" spans="1:6" ht="21" hidden="1" x14ac:dyDescent="0.3">
      <c r="A163" s="119" t="s">
        <v>556</v>
      </c>
      <c r="B163" s="89"/>
    </row>
    <row r="164" spans="1:6" ht="21" x14ac:dyDescent="0.3">
      <c r="A164" s="131" t="s">
        <v>185</v>
      </c>
      <c r="B164" s="89"/>
    </row>
    <row r="165" spans="1:6" x14ac:dyDescent="0.3">
      <c r="A165" s="104" t="s">
        <v>480</v>
      </c>
      <c r="B165" s="89"/>
    </row>
    <row r="166" spans="1:6" x14ac:dyDescent="0.3">
      <c r="A166" s="48" t="str">
        <f>$A$82 &amp; " : " &amp; A83</f>
        <v>Input Tab Information : Total Number of Year Round Beds submitted on HIC/most recent HUD application</v>
      </c>
      <c r="B166" s="99">
        <f>B83</f>
        <v>0</v>
      </c>
      <c r="F166" s="124" t="s">
        <v>400</v>
      </c>
    </row>
    <row r="167" spans="1:6" x14ac:dyDescent="0.3">
      <c r="A167" s="48" t="str">
        <f>$A$82 &amp; " : " &amp; A84</f>
        <v>Input Tab Information : Total Number of Year Round Units submitted on HIC/most recent HUD application</v>
      </c>
      <c r="B167" s="99">
        <f t="shared" ref="B167:B168" si="2">B84</f>
        <v>0</v>
      </c>
      <c r="F167" s="124" t="s">
        <v>400</v>
      </c>
    </row>
    <row r="168" spans="1:6" x14ac:dyDescent="0.3">
      <c r="A168" s="48" t="str">
        <f>$A$82 &amp; " : " &amp; A85</f>
        <v>Input Tab Information : Total Number of Units reported in Last Year GIW</v>
      </c>
      <c r="B168" s="99">
        <f t="shared" si="2"/>
        <v>0</v>
      </c>
      <c r="F168" s="124" t="s">
        <v>400</v>
      </c>
    </row>
    <row r="169" spans="1:6" x14ac:dyDescent="0.3">
      <c r="A169" s="48" t="str">
        <f>$A$20 &amp; " : " &amp; A21</f>
        <v>Point-in-Time Count of Persons on the Last Wednesday (7b) : January; Total</v>
      </c>
      <c r="B169" s="99">
        <f>B21</f>
        <v>0</v>
      </c>
      <c r="F169" s="124" t="s">
        <v>400</v>
      </c>
    </row>
    <row r="170" spans="1:6" x14ac:dyDescent="0.3">
      <c r="A170" s="48" t="str">
        <f t="shared" ref="A170:A172" si="3">$A$20 &amp; " : " &amp; A22</f>
        <v>Point-in-Time Count of Persons on the Last Wednesday (7b) : April; Total</v>
      </c>
      <c r="B170" s="99">
        <f t="shared" ref="B170:B172" si="4">B22</f>
        <v>0</v>
      </c>
      <c r="F170" s="124" t="s">
        <v>400</v>
      </c>
    </row>
    <row r="171" spans="1:6" x14ac:dyDescent="0.3">
      <c r="A171" s="48" t="str">
        <f t="shared" si="3"/>
        <v>Point-in-Time Count of Persons on the Last Wednesday (7b) : July; Total</v>
      </c>
      <c r="B171" s="99">
        <f t="shared" si="4"/>
        <v>0</v>
      </c>
      <c r="F171" s="124" t="s">
        <v>400</v>
      </c>
    </row>
    <row r="172" spans="1:6" x14ac:dyDescent="0.3">
      <c r="A172" s="48" t="str">
        <f t="shared" si="3"/>
        <v>Point-in-Time Count of Persons on the Last Wednesday (7b) : October; Total</v>
      </c>
      <c r="B172" s="99">
        <f t="shared" si="4"/>
        <v>0</v>
      </c>
      <c r="F172" s="124" t="s">
        <v>400</v>
      </c>
    </row>
    <row r="173" spans="1:6" x14ac:dyDescent="0.3">
      <c r="A173" s="48" t="str">
        <f>$A$28 &amp; " : " &amp; A29</f>
        <v>Point-in-Time Count of Households on the Last Wednesday (8b) : January; Total</v>
      </c>
      <c r="B173" s="99">
        <f>B29</f>
        <v>0</v>
      </c>
      <c r="F173" s="124" t="s">
        <v>400</v>
      </c>
    </row>
    <row r="174" spans="1:6" x14ac:dyDescent="0.3">
      <c r="A174" s="48" t="str">
        <f t="shared" ref="A174:A176" si="5">$A$28 &amp; " : " &amp; A30</f>
        <v>Point-in-Time Count of Households on the Last Wednesday (8b) : April; Total</v>
      </c>
      <c r="B174" s="99">
        <f t="shared" ref="B174:B176" si="6">B30</f>
        <v>0</v>
      </c>
      <c r="F174" s="124" t="s">
        <v>400</v>
      </c>
    </row>
    <row r="175" spans="1:6" x14ac:dyDescent="0.3">
      <c r="A175" s="48" t="str">
        <f t="shared" si="5"/>
        <v>Point-in-Time Count of Households on the Last Wednesday (8b) : July; Total</v>
      </c>
      <c r="B175" s="99">
        <f t="shared" si="6"/>
        <v>0</v>
      </c>
      <c r="F175" s="124" t="s">
        <v>400</v>
      </c>
    </row>
    <row r="176" spans="1:6" x14ac:dyDescent="0.3">
      <c r="A176" s="48" t="str">
        <f t="shared" si="5"/>
        <v>Point-in-Time Count of Households on the Last Wednesday (8b) : October; Total</v>
      </c>
      <c r="B176" s="99">
        <f t="shared" si="6"/>
        <v>0</v>
      </c>
      <c r="F176" s="124" t="s">
        <v>400</v>
      </c>
    </row>
    <row r="177" spans="1:6" x14ac:dyDescent="0.3">
      <c r="A177" s="104" t="s">
        <v>483</v>
      </c>
    </row>
    <row r="178" spans="1:6" x14ac:dyDescent="0.3">
      <c r="A178" s="86" t="s">
        <v>187</v>
      </c>
      <c r="B178" s="99">
        <f>IFERROR(ROUND(AVERAGE(B169,B170,B171,B172), 2), 0)</f>
        <v>0</v>
      </c>
      <c r="F178" s="124" t="s">
        <v>528</v>
      </c>
    </row>
    <row r="179" spans="1:6" x14ac:dyDescent="0.3">
      <c r="A179" s="86" t="s">
        <v>189</v>
      </c>
      <c r="B179" s="99">
        <f>IFERROR(ROUND(AVERAGE(B173,B174,B175,B176), 2), 0)</f>
        <v>0</v>
      </c>
      <c r="F179" s="124" t="s">
        <v>529</v>
      </c>
    </row>
    <row r="180" spans="1:6" x14ac:dyDescent="0.3">
      <c r="A180" s="104" t="s">
        <v>482</v>
      </c>
      <c r="B180" s="89"/>
    </row>
    <row r="181" spans="1:6" x14ac:dyDescent="0.3">
      <c r="A181" s="86" t="s">
        <v>190</v>
      </c>
      <c r="B181" s="95">
        <f>IFERROR(ROUND(B178/B166, 2), 0)</f>
        <v>0</v>
      </c>
      <c r="F181" s="124" t="s">
        <v>531</v>
      </c>
    </row>
    <row r="182" spans="1:6" x14ac:dyDescent="0.3">
      <c r="A182" s="86" t="s">
        <v>191</v>
      </c>
      <c r="B182" s="95">
        <f>IFERROR(ROUND(B179/ IF($B$7 = "RRH", B168, B167), 2), 0)</f>
        <v>0</v>
      </c>
      <c r="F182" s="124" t="s">
        <v>532</v>
      </c>
    </row>
    <row r="183" spans="1:6" x14ac:dyDescent="0.3">
      <c r="A183" s="86" t="s">
        <v>307</v>
      </c>
      <c r="B183" s="95">
        <f>IF(Input!C7 = "Yes", B182, B181)</f>
        <v>0</v>
      </c>
      <c r="C183" s="96">
        <v>0.9</v>
      </c>
      <c r="D183" s="90">
        <v>5</v>
      </c>
      <c r="E183" s="90">
        <f>IF(B183 &gt;= C183, D183, 0)</f>
        <v>0</v>
      </c>
      <c r="F183" s="124" t="s">
        <v>530</v>
      </c>
    </row>
    <row r="184" spans="1:6" ht="21" hidden="1" x14ac:dyDescent="0.3">
      <c r="A184" s="119" t="s">
        <v>556</v>
      </c>
      <c r="B184" s="89"/>
    </row>
    <row r="185" spans="1:6" ht="21" x14ac:dyDescent="0.3">
      <c r="A185" s="131" t="s">
        <v>401</v>
      </c>
      <c r="B185" s="97"/>
      <c r="C185" s="98"/>
      <c r="D185" s="85"/>
      <c r="E185" s="85"/>
      <c r="F185" s="124"/>
    </row>
    <row r="186" spans="1:6" x14ac:dyDescent="0.3">
      <c r="A186" s="104" t="s">
        <v>533</v>
      </c>
      <c r="B186" s="89"/>
    </row>
    <row r="187" spans="1:6" x14ac:dyDescent="0.3">
      <c r="A187" s="86" t="s">
        <v>192</v>
      </c>
      <c r="B187" s="128">
        <f>Input!C16</f>
        <v>0</v>
      </c>
      <c r="F187" s="124" t="s">
        <v>534</v>
      </c>
    </row>
    <row r="188" spans="1:6" x14ac:dyDescent="0.3">
      <c r="A188" s="86" t="s">
        <v>213</v>
      </c>
      <c r="B188" s="129" t="str">
        <f>IF(Input!C18 &lt;&gt; "", Input!C18, "No")</f>
        <v>No</v>
      </c>
      <c r="F188" s="124" t="s">
        <v>534</v>
      </c>
    </row>
    <row r="189" spans="1:6" x14ac:dyDescent="0.3">
      <c r="A189" s="86" t="s">
        <v>214</v>
      </c>
      <c r="B189" s="129" t="str">
        <f>IF(Input!C19 &lt;&gt; "", Input!C19, "No")</f>
        <v>No</v>
      </c>
      <c r="F189" s="124" t="s">
        <v>534</v>
      </c>
    </row>
    <row r="190" spans="1:6" x14ac:dyDescent="0.3">
      <c r="A190" s="86" t="s">
        <v>350</v>
      </c>
      <c r="B190" s="129" t="str">
        <f>IF(Input!C20 &lt;&gt; "", Input!C20, "No")</f>
        <v>No</v>
      </c>
      <c r="F190" s="124" t="s">
        <v>534</v>
      </c>
    </row>
    <row r="191" spans="1:6" x14ac:dyDescent="0.3">
      <c r="A191" s="126" t="s">
        <v>349</v>
      </c>
      <c r="B191" s="129" t="str">
        <f>IF(Input!C24 &lt;&gt; "", Input!C24, "No")</f>
        <v>No</v>
      </c>
      <c r="F191" s="124" t="s">
        <v>534</v>
      </c>
    </row>
    <row r="192" spans="1:6" x14ac:dyDescent="0.3">
      <c r="A192" s="86" t="s">
        <v>305</v>
      </c>
      <c r="B192" s="129" t="str">
        <f>IF(Input!C28 &lt;&gt; "", Input!C28, "No")</f>
        <v>No</v>
      </c>
      <c r="F192" s="124" t="s">
        <v>534</v>
      </c>
    </row>
    <row r="193" spans="1:6" x14ac:dyDescent="0.3">
      <c r="A193" s="86" t="s">
        <v>538</v>
      </c>
      <c r="B193" s="129" t="str">
        <f>IF(Input!C32 &lt;&gt; "", Input!C32, "No")</f>
        <v>No</v>
      </c>
      <c r="F193" s="124" t="s">
        <v>534</v>
      </c>
    </row>
    <row r="194" spans="1:6" x14ac:dyDescent="0.3">
      <c r="A194" s="104" t="s">
        <v>483</v>
      </c>
      <c r="B194" s="89"/>
      <c r="C194" s="85"/>
      <c r="D194" s="85"/>
      <c r="E194" s="85"/>
    </row>
    <row r="195" spans="1:6" x14ac:dyDescent="0.3">
      <c r="A195" s="86" t="s">
        <v>535</v>
      </c>
      <c r="B195" s="99" t="b">
        <f>IF(B187 &gt;= 0.9, FALSE, TRUE)</f>
        <v>1</v>
      </c>
      <c r="F195" s="124" t="s">
        <v>539</v>
      </c>
    </row>
    <row r="196" spans="1:6" x14ac:dyDescent="0.3">
      <c r="A196" s="104" t="s">
        <v>482</v>
      </c>
      <c r="B196" s="89"/>
    </row>
    <row r="197" spans="1:6" x14ac:dyDescent="0.3">
      <c r="A197" s="86" t="s">
        <v>536</v>
      </c>
      <c r="B197" s="128">
        <f>B187</f>
        <v>0</v>
      </c>
      <c r="C197" s="96">
        <v>0.9</v>
      </c>
      <c r="D197" s="90">
        <f>IF(B195, 5, 10)</f>
        <v>5</v>
      </c>
      <c r="E197" s="90">
        <f>IF(B197 &gt;= C197, D197, 0)</f>
        <v>0</v>
      </c>
      <c r="F197" s="124" t="s">
        <v>192</v>
      </c>
    </row>
    <row r="198" spans="1:6" x14ac:dyDescent="0.3">
      <c r="A198" s="86" t="s">
        <v>214</v>
      </c>
      <c r="B198" s="99" t="b">
        <f>IF(B195 = FALSE, "n/a", IF(B189 = "Yes", TRUE, FALSE))</f>
        <v>0</v>
      </c>
      <c r="D198" s="90">
        <f>IF(B195, D197, 0)</f>
        <v>5</v>
      </c>
      <c r="E198" s="90">
        <f>IF(B198 = TRUE, ROUND(D197 * 0.5, 0), 0)</f>
        <v>0</v>
      </c>
      <c r="F198" s="124" t="s">
        <v>540</v>
      </c>
    </row>
    <row r="199" spans="1:6" x14ac:dyDescent="0.3">
      <c r="A199" s="86" t="s">
        <v>537</v>
      </c>
      <c r="B199" s="99" t="b">
        <f>IF(B190 = "Yes", TRUE, FALSE)</f>
        <v>0</v>
      </c>
      <c r="C199" s="90" t="b">
        <v>1</v>
      </c>
      <c r="D199" s="90">
        <v>5</v>
      </c>
      <c r="E199" s="90">
        <f>IF(B199 = TRUE, D199, 0)</f>
        <v>0</v>
      </c>
      <c r="F199" s="124" t="s">
        <v>541</v>
      </c>
    </row>
    <row r="200" spans="1:6" x14ac:dyDescent="0.3">
      <c r="A200" s="126" t="s">
        <v>349</v>
      </c>
      <c r="B200" s="99" t="b">
        <f>IF(B191 = "Yes", TRUE, FALSE)</f>
        <v>0</v>
      </c>
      <c r="C200" s="90" t="b">
        <v>1</v>
      </c>
      <c r="D200" s="99">
        <v>5</v>
      </c>
      <c r="E200" s="99">
        <f>IF(B200 = TRUE, D200, 0)</f>
        <v>0</v>
      </c>
      <c r="F200" s="124" t="s">
        <v>541</v>
      </c>
    </row>
    <row r="201" spans="1:6" x14ac:dyDescent="0.3">
      <c r="A201" s="86" t="s">
        <v>305</v>
      </c>
      <c r="B201" s="99" t="b">
        <f t="shared" ref="B201:B202" si="7">IF(B192 = "Yes", TRUE, FALSE)</f>
        <v>0</v>
      </c>
      <c r="C201" s="90" t="b">
        <v>1</v>
      </c>
      <c r="D201" s="99">
        <v>5</v>
      </c>
      <c r="E201" s="99">
        <f>IF(B201 = TRUE, D201, 0)</f>
        <v>0</v>
      </c>
      <c r="F201" s="124" t="s">
        <v>541</v>
      </c>
    </row>
    <row r="202" spans="1:6" x14ac:dyDescent="0.3">
      <c r="A202" s="86" t="s">
        <v>538</v>
      </c>
      <c r="B202" s="99" t="b">
        <f t="shared" si="7"/>
        <v>0</v>
      </c>
      <c r="C202" s="90" t="b">
        <v>1</v>
      </c>
      <c r="D202" s="99">
        <v>5</v>
      </c>
      <c r="E202" s="99">
        <f>IF(B202 = TRUE, D202, 0)</f>
        <v>0</v>
      </c>
      <c r="F202" s="124" t="s">
        <v>541</v>
      </c>
    </row>
    <row r="203" spans="1:6" ht="21" hidden="1" x14ac:dyDescent="0.3">
      <c r="A203" s="119" t="s">
        <v>556</v>
      </c>
      <c r="B203" s="89"/>
    </row>
    <row r="204" spans="1:6" ht="21" x14ac:dyDescent="0.3">
      <c r="A204" s="131" t="s">
        <v>195</v>
      </c>
      <c r="B204" s="89"/>
    </row>
    <row r="205" spans="1:6" x14ac:dyDescent="0.3">
      <c r="A205" s="104" t="s">
        <v>480</v>
      </c>
      <c r="B205" s="89"/>
    </row>
    <row r="206" spans="1:6" x14ac:dyDescent="0.3">
      <c r="A206" s="48" t="str">
        <f>$A$8 &amp; " : " &amp; A9</f>
        <v>Report Validations Table (5a) : Total Number of Persons Served  (5a.1)</v>
      </c>
      <c r="B206" s="99">
        <f>B9</f>
        <v>0</v>
      </c>
      <c r="F206" s="124" t="s">
        <v>400</v>
      </c>
    </row>
    <row r="207" spans="1:6" x14ac:dyDescent="0.3">
      <c r="A207" s="48" t="str">
        <f>$A$8 &amp; " : " &amp; A10</f>
        <v>Report Validations Table (5a) : Number of Adults (age 18 or over) (5a.2)</v>
      </c>
      <c r="B207" s="99">
        <f>B10</f>
        <v>0</v>
      </c>
      <c r="F207" s="124" t="s">
        <v>400</v>
      </c>
    </row>
    <row r="208" spans="1:6" x14ac:dyDescent="0.3">
      <c r="A208" s="48" t="str">
        <f>$A$8 &amp; " : " &amp; A17</f>
        <v>Report Validations Table (5a) : Number of Veterans (5a.10)</v>
      </c>
      <c r="B208" s="99">
        <f>B17</f>
        <v>0</v>
      </c>
      <c r="F208" s="124" t="s">
        <v>400</v>
      </c>
    </row>
    <row r="209" spans="1:6" x14ac:dyDescent="0.3">
      <c r="A209" s="48" t="str">
        <f t="shared" ref="A209:A210" si="8">$A$8 &amp; " : " &amp; A18</f>
        <v>Report Validations Table (5a) : Number of Chronically Homeless Persons (5a.11)</v>
      </c>
      <c r="B209" s="99">
        <f>B18</f>
        <v>0</v>
      </c>
      <c r="F209" s="124" t="s">
        <v>400</v>
      </c>
    </row>
    <row r="210" spans="1:6" x14ac:dyDescent="0.3">
      <c r="A210" s="48" t="str">
        <f t="shared" si="8"/>
        <v>Report Validations Table (5a) : Total Number of Youth Under Age 25 (5a.12)</v>
      </c>
      <c r="B210" s="99">
        <f>B19</f>
        <v>0</v>
      </c>
      <c r="F210" s="124" t="s">
        <v>400</v>
      </c>
    </row>
    <row r="211" spans="1:6" x14ac:dyDescent="0.3">
      <c r="A211" s="48" t="str">
        <f>$A$25 &amp; " : " &amp; A26</f>
        <v xml:space="preserve">Number of Households Served (8a) : Total Households; Total  </v>
      </c>
      <c r="B211" s="99">
        <f>B26</f>
        <v>0</v>
      </c>
      <c r="F211" s="124" t="s">
        <v>400</v>
      </c>
    </row>
    <row r="212" spans="1:6" x14ac:dyDescent="0.3">
      <c r="A212" s="48" t="str">
        <f>$A$25 &amp; " : " &amp; A27</f>
        <v xml:space="preserve">Number of Households Served (8a) : Total Households; With Children and Adults </v>
      </c>
      <c r="B212" s="99">
        <f>B27</f>
        <v>0</v>
      </c>
      <c r="F212" s="124" t="s">
        <v>400</v>
      </c>
    </row>
    <row r="213" spans="1:6" x14ac:dyDescent="0.3">
      <c r="A213" s="48" t="str">
        <f>$A$33 &amp; " : " &amp; A34</f>
        <v>Physical and Mental Health Conditions at Start (13a1) : HIV/AIDS; Total Persons</v>
      </c>
      <c r="B213" s="99">
        <f>B34</f>
        <v>0</v>
      </c>
      <c r="F213" s="124" t="s">
        <v>400</v>
      </c>
    </row>
    <row r="214" spans="1:6" x14ac:dyDescent="0.3">
      <c r="A214" s="48" t="str">
        <f>$A$35 &amp; " : " &amp; A36</f>
        <v>Number of Conditions at Start (13a2) : 2 Conditions; Total Persons</v>
      </c>
      <c r="B214" s="99">
        <f>B36</f>
        <v>0</v>
      </c>
      <c r="F214" s="124" t="s">
        <v>400</v>
      </c>
    </row>
    <row r="215" spans="1:6" x14ac:dyDescent="0.3">
      <c r="A215" s="48" t="str">
        <f>$A$35 &amp; " : " &amp; A37</f>
        <v>Number of Conditions at Start (13a2) : 3+ Conditions; Total Persons</v>
      </c>
      <c r="B215" s="99">
        <f>B37</f>
        <v>0</v>
      </c>
      <c r="F215" s="124" t="s">
        <v>400</v>
      </c>
    </row>
    <row r="216" spans="1:6" x14ac:dyDescent="0.3">
      <c r="A216" s="48" t="str">
        <f>$A$38 &amp; " : " &amp; A39</f>
        <v>Persons Fleeing Domestic Violence (14b) : Yes; Total</v>
      </c>
      <c r="B216" s="99">
        <f>B39</f>
        <v>0</v>
      </c>
      <c r="F216" s="124" t="s">
        <v>400</v>
      </c>
    </row>
    <row r="217" spans="1:6" ht="28.8" x14ac:dyDescent="0.3">
      <c r="A217" s="48" t="str">
        <f>$A$40 &amp; " : " &amp; A41</f>
        <v>Client Cash Income Category - Earned/Other Income Category - by Start and Annual Assessment/Exit Status (18) : Adults with No Income; Number of Adults at Start</v>
      </c>
      <c r="B217" s="99">
        <f>B41</f>
        <v>0</v>
      </c>
      <c r="F217" s="124" t="s">
        <v>400</v>
      </c>
    </row>
    <row r="218" spans="1:6" x14ac:dyDescent="0.3">
      <c r="A218" s="104" t="s">
        <v>483</v>
      </c>
      <c r="B218" s="89"/>
      <c r="C218" s="85"/>
      <c r="D218" s="85"/>
      <c r="E218" s="85"/>
    </row>
    <row r="219" spans="1:6" x14ac:dyDescent="0.3">
      <c r="A219" s="86" t="s">
        <v>553</v>
      </c>
      <c r="B219" s="99">
        <f>SUM(B214,B215)</f>
        <v>0</v>
      </c>
      <c r="F219" s="124" t="s">
        <v>545</v>
      </c>
    </row>
    <row r="220" spans="1:6" x14ac:dyDescent="0.3">
      <c r="A220" s="86" t="s">
        <v>407</v>
      </c>
      <c r="B220" s="121">
        <f>IFERROR(ROUND(B210/B$207, 2), 0)</f>
        <v>0</v>
      </c>
      <c r="F220" s="124" t="s">
        <v>546</v>
      </c>
    </row>
    <row r="221" spans="1:6" x14ac:dyDescent="0.3">
      <c r="A221" s="86" t="s">
        <v>196</v>
      </c>
      <c r="B221" s="121">
        <f>IFERROR(ROUND(B213/B$206, 2), 0)</f>
        <v>0</v>
      </c>
      <c r="F221" s="124" t="s">
        <v>547</v>
      </c>
    </row>
    <row r="222" spans="1:6" x14ac:dyDescent="0.3">
      <c r="A222" s="86" t="s">
        <v>197</v>
      </c>
      <c r="B222" s="121">
        <f>IFERROR(ROUND(B216/B$206, 2), 0)</f>
        <v>0</v>
      </c>
      <c r="F222" s="124" t="s">
        <v>548</v>
      </c>
    </row>
    <row r="223" spans="1:6" x14ac:dyDescent="0.3">
      <c r="A223" s="86" t="s">
        <v>198</v>
      </c>
      <c r="B223" s="121">
        <f>IFERROR(ROUND(B212/B211, 2), 0)</f>
        <v>0</v>
      </c>
      <c r="F223" s="124" t="s">
        <v>549</v>
      </c>
    </row>
    <row r="224" spans="1:6" x14ac:dyDescent="0.3">
      <c r="A224" s="86" t="s">
        <v>199</v>
      </c>
      <c r="B224" s="121">
        <f>IFERROR(ROUND(B209/B$206, 2), 0)</f>
        <v>0</v>
      </c>
      <c r="F224" s="124" t="s">
        <v>550</v>
      </c>
    </row>
    <row r="225" spans="1:6" x14ac:dyDescent="0.3">
      <c r="A225" s="86" t="s">
        <v>200</v>
      </c>
      <c r="B225" s="121">
        <f>IFERROR(ROUND(B208/B$207, 2), 0)</f>
        <v>0</v>
      </c>
      <c r="F225" s="124" t="s">
        <v>551</v>
      </c>
    </row>
    <row r="226" spans="1:6" x14ac:dyDescent="0.3">
      <c r="A226" s="86" t="s">
        <v>347</v>
      </c>
      <c r="B226" s="121">
        <f>IFERROR(ROUND(B217/B$207, 2), 0)</f>
        <v>0</v>
      </c>
      <c r="F226" s="124" t="s">
        <v>552</v>
      </c>
    </row>
    <row r="227" spans="1:6" x14ac:dyDescent="0.3">
      <c r="A227" s="86" t="s">
        <v>201</v>
      </c>
      <c r="B227" s="121">
        <f>IFERROR(ROUND(B219/B206, 2), 0)</f>
        <v>0</v>
      </c>
      <c r="F227" s="124" t="s">
        <v>554</v>
      </c>
    </row>
    <row r="228" spans="1:6" x14ac:dyDescent="0.3">
      <c r="A228" s="101" t="s">
        <v>543</v>
      </c>
      <c r="B228" s="99">
        <f>COUNTIF(B220:B227, "&gt;0.1")</f>
        <v>0</v>
      </c>
      <c r="F228" s="124" t="s">
        <v>555</v>
      </c>
    </row>
    <row r="229" spans="1:6" x14ac:dyDescent="0.3">
      <c r="A229" s="104" t="s">
        <v>482</v>
      </c>
      <c r="B229" s="89"/>
    </row>
    <row r="230" spans="1:6" x14ac:dyDescent="0.3">
      <c r="A230" s="101" t="s">
        <v>543</v>
      </c>
      <c r="B230" s="99">
        <f>B228</f>
        <v>0</v>
      </c>
      <c r="D230" s="99">
        <v>10</v>
      </c>
      <c r="E230" s="99">
        <f>MIN(10, B230*5)</f>
        <v>0</v>
      </c>
      <c r="F230" s="48" t="s">
        <v>544</v>
      </c>
    </row>
    <row r="231" spans="1:6" ht="21" hidden="1" x14ac:dyDescent="0.3">
      <c r="A231" s="119" t="s">
        <v>556</v>
      </c>
      <c r="B231" s="89"/>
    </row>
    <row r="232" spans="1:6" ht="21" x14ac:dyDescent="0.3">
      <c r="A232" s="131" t="s">
        <v>206</v>
      </c>
      <c r="B232" s="89"/>
    </row>
    <row r="233" spans="1:6" x14ac:dyDescent="0.3">
      <c r="A233" s="104" t="s">
        <v>533</v>
      </c>
      <c r="B233" s="89"/>
    </row>
    <row r="234" spans="1:6" x14ac:dyDescent="0.3">
      <c r="A234" s="86" t="s">
        <v>559</v>
      </c>
      <c r="B234" s="129" t="str">
        <f>IF(Input!C36 &lt;&gt; "", Input!C36, "Yes")</f>
        <v>Yes</v>
      </c>
      <c r="F234" s="124" t="s">
        <v>534</v>
      </c>
    </row>
    <row r="235" spans="1:6" x14ac:dyDescent="0.3">
      <c r="A235" s="86" t="s">
        <v>560</v>
      </c>
      <c r="B235" s="129" t="str">
        <f>IF(Input!C37 &lt;&gt; "", Input!C37, "No")</f>
        <v>No</v>
      </c>
      <c r="F235" s="124" t="s">
        <v>534</v>
      </c>
    </row>
    <row r="236" spans="1:6" x14ac:dyDescent="0.3">
      <c r="A236" s="104" t="s">
        <v>483</v>
      </c>
      <c r="B236" s="89"/>
      <c r="C236" s="85"/>
      <c r="D236" s="85"/>
      <c r="E236" s="85"/>
    </row>
    <row r="237" spans="1:6" x14ac:dyDescent="0.3">
      <c r="A237" s="86" t="s">
        <v>563</v>
      </c>
      <c r="B237" s="99" t="b">
        <f>IF(B234 = "YES", TRUE, FALSE)</f>
        <v>1</v>
      </c>
      <c r="F237" s="124" t="s">
        <v>561</v>
      </c>
    </row>
    <row r="238" spans="1:6" x14ac:dyDescent="0.3">
      <c r="A238" s="86" t="s">
        <v>569</v>
      </c>
      <c r="B238" s="99" t="b">
        <f>IF(B235 = "YES", TRUE, FALSE)</f>
        <v>0</v>
      </c>
      <c r="F238" s="124" t="s">
        <v>570</v>
      </c>
    </row>
    <row r="239" spans="1:6" x14ac:dyDescent="0.3">
      <c r="A239" s="86" t="s">
        <v>562</v>
      </c>
      <c r="B239" s="99" t="b">
        <f>B195</f>
        <v>1</v>
      </c>
      <c r="F239" s="124" t="s">
        <v>539</v>
      </c>
    </row>
    <row r="240" spans="1:6" x14ac:dyDescent="0.3">
      <c r="A240" s="86" t="s">
        <v>564</v>
      </c>
      <c r="B240" s="99" t="b">
        <f>NOT(B201)</f>
        <v>1</v>
      </c>
      <c r="F240" s="124" t="s">
        <v>566</v>
      </c>
    </row>
    <row r="241" spans="1:6" x14ac:dyDescent="0.3">
      <c r="A241" s="86" t="s">
        <v>565</v>
      </c>
      <c r="B241" s="99" t="b">
        <f>NOT(B202)</f>
        <v>1</v>
      </c>
      <c r="F241" s="124" t="s">
        <v>567</v>
      </c>
    </row>
    <row r="242" spans="1:6" x14ac:dyDescent="0.3">
      <c r="A242" s="104" t="s">
        <v>482</v>
      </c>
      <c r="B242" s="89"/>
    </row>
    <row r="243" spans="1:6" x14ac:dyDescent="0.3">
      <c r="A243" s="101" t="s">
        <v>572</v>
      </c>
      <c r="B243" s="99" t="b">
        <f>NOT(OR(B239,B240,B241))</f>
        <v>0</v>
      </c>
      <c r="C243" s="90" t="b">
        <v>1</v>
      </c>
      <c r="D243" s="90">
        <v>5</v>
      </c>
      <c r="E243" s="90">
        <f>IF(B243 = TRUE, D243, 0)</f>
        <v>0</v>
      </c>
      <c r="F243" s="124" t="s">
        <v>568</v>
      </c>
    </row>
    <row r="244" spans="1:6" x14ac:dyDescent="0.3">
      <c r="A244" s="101" t="s">
        <v>571</v>
      </c>
      <c r="B244" s="99" t="b">
        <f>IF(B237, B238, TRUE)</f>
        <v>0</v>
      </c>
      <c r="C244" s="90" t="b">
        <v>1</v>
      </c>
      <c r="D244" s="90">
        <v>10</v>
      </c>
      <c r="E244" s="90">
        <f>IF(B244 = TRUE, D244, 0)</f>
        <v>0</v>
      </c>
      <c r="F244" s="124" t="s">
        <v>406</v>
      </c>
    </row>
    <row r="245" spans="1:6" ht="21" hidden="1" x14ac:dyDescent="0.3">
      <c r="A245" s="119" t="s">
        <v>556</v>
      </c>
      <c r="B245" s="89"/>
    </row>
    <row r="246" spans="1:6" ht="21" x14ac:dyDescent="0.3">
      <c r="A246" s="102" t="s">
        <v>293</v>
      </c>
      <c r="C246" s="47"/>
      <c r="D246" s="103" t="s">
        <v>557</v>
      </c>
      <c r="E246" s="103" t="s">
        <v>558</v>
      </c>
    </row>
    <row r="247" spans="1:6" x14ac:dyDescent="0.3">
      <c r="A247" s="48" t="str">
        <f>"  - " &amp; A86</f>
        <v xml:space="preserve">  - Successful Length of Stay</v>
      </c>
      <c r="B247" s="105"/>
      <c r="C247" s="105"/>
      <c r="D247" s="105">
        <f ca="1">SUM(INDIRECT("D"&amp;MATCH(RIGHT(A247,LEN(A247)-4),$A$1:$A$1009,0)&amp;":D"&amp;MATCH(RIGHT(A247,LEN(A247)-4),$A$1:$A$1009,0)+MATCH("END",INDIRECT("A"&amp;MATCH(RIGHT(A247,LEN(A247)-4),$A$1:$A$1009,0)):$A$1009,0)))</f>
        <v>5</v>
      </c>
      <c r="E247" s="105">
        <f ca="1">SUM(INDIRECT("E"&amp;MATCH(RIGHT(A247,LEN(A247)-4),$A$1:$A$1009,0)&amp;":E"&amp;MATCH(RIGHT(A247,LEN(A247)-4),$A$1:$A$1009,0)+MATCH("END",INDIRECT("A"&amp;MATCH(RIGHT(A247,LEN(A247)-4),$A$1:$A$1009,0)):$A$1009,0)))</f>
        <v>0</v>
      </c>
      <c r="F247" s="124" t="s">
        <v>406</v>
      </c>
    </row>
    <row r="248" spans="1:6" x14ac:dyDescent="0.3">
      <c r="A248" s="48" t="str">
        <f>"  - " &amp; A101</f>
        <v xml:space="preserve">  - Reduce Returns to Homelessness</v>
      </c>
      <c r="B248" s="105"/>
      <c r="C248" s="105"/>
      <c r="D248" s="105">
        <f ca="1">SUM(INDIRECT("D"&amp;MATCH(RIGHT(A248,LEN(A248)-4),$A$1:$A$1009,0)&amp;":D"&amp;MATCH(RIGHT(A248,LEN(A248)-4),$A$1:$A$1009,0)+MATCH("END",INDIRECT("A"&amp;MATCH(RIGHT(A248,LEN(A248)-4),$A$1:$A$1009,0)):$A$1009,0)))</f>
        <v>5</v>
      </c>
      <c r="E248" s="105">
        <f ca="1">SUM(INDIRECT("E"&amp;MATCH(RIGHT(A248,LEN(A248)-4),$A$1:$A$1009,0)&amp;":E"&amp;MATCH(RIGHT(A248,LEN(A248)-4),$A$1:$A$1009,0)+MATCH("END",INDIRECT("A"&amp;MATCH(RIGHT(A248,LEN(A248)-4),$A$1:$A$1009,0)):$A$1009,0)))</f>
        <v>0</v>
      </c>
      <c r="F248" s="124" t="s">
        <v>406</v>
      </c>
    </row>
    <row r="249" spans="1:6" x14ac:dyDescent="0.3">
      <c r="A249" s="48" t="str">
        <f>"  - " &amp; A121</f>
        <v xml:space="preserve">  - Retain or Increase Income (by Adult Individuals)</v>
      </c>
      <c r="B249" s="105"/>
      <c r="C249" s="105"/>
      <c r="D249" s="105">
        <f ca="1">SUM(INDIRECT("D"&amp;MATCH(RIGHT(A249,LEN(A249)-4),$A$1:$A$1009,0)&amp;":D"&amp;MATCH(RIGHT(A249,LEN(A249)-4),$A$1:$A$1009,0)+MATCH("END",INDIRECT("A"&amp;MATCH(RIGHT(A249,LEN(A249)-4),$A$1:$A$1009,0)):$A$1009,0)))</f>
        <v>25</v>
      </c>
      <c r="E249" s="105">
        <f ca="1">SUM(INDIRECT("E"&amp;MATCH(RIGHT(A249,LEN(A249)-4),$A$1:$A$1009,0)&amp;":E"&amp;MATCH(RIGHT(A249,LEN(A249)-4),$A$1:$A$1009,0)+MATCH("END",INDIRECT("A"&amp;MATCH(RIGHT(A249,LEN(A249)-4),$A$1:$A$1009,0)):$A$1009,0)))</f>
        <v>0</v>
      </c>
      <c r="F249" s="124" t="s">
        <v>406</v>
      </c>
    </row>
    <row r="250" spans="1:6" x14ac:dyDescent="0.3">
      <c r="A250" s="48" t="str">
        <f>"  - " &amp; A147</f>
        <v xml:space="preserve">  - Exits to Permanent Housing / Housing Stability</v>
      </c>
      <c r="B250" s="105"/>
      <c r="C250" s="105"/>
      <c r="D250" s="105">
        <f ca="1">SUM(INDIRECT("D"&amp;MATCH(RIGHT(A250,LEN(A250)-4),$A$1:$A$1009,0)&amp;":D"&amp;MATCH(RIGHT(A250,LEN(A250)-4),$A$1:$A$1009,0)+MATCH("END",INDIRECT("A"&amp;MATCH(RIGHT(A250,LEN(A250)-4),$A$1:$A$1009,0)):$A$1009,0)))</f>
        <v>15</v>
      </c>
      <c r="E250" s="105">
        <f ca="1">SUM(INDIRECT("E"&amp;MATCH(RIGHT(A250,LEN(A250)-4),$A$1:$A$1009,0)&amp;":E"&amp;MATCH(RIGHT(A250,LEN(A250)-4),$A$1:$A$1009,0)+MATCH("END",INDIRECT("A"&amp;MATCH(RIGHT(A250,LEN(A250)-4),$A$1:$A$1009,0)):$A$1009,0)))</f>
        <v>0</v>
      </c>
      <c r="F250" s="124" t="s">
        <v>406</v>
      </c>
    </row>
    <row r="251" spans="1:6" x14ac:dyDescent="0.3">
      <c r="A251" s="48" t="str">
        <f>"  - " &amp; A164</f>
        <v xml:space="preserve">  - Program Model Effectiveness</v>
      </c>
      <c r="B251" s="105"/>
      <c r="C251" s="105"/>
      <c r="D251" s="105">
        <f ca="1">SUM(INDIRECT("D"&amp;MATCH(RIGHT(A251,LEN(A251)-4),$A$1:$A$1009,0)&amp;":D"&amp;MATCH(RIGHT(A251,LEN(A251)-4),$A$1:$A$1009,0)+MATCH("END",INDIRECT("A"&amp;MATCH(RIGHT(A251,LEN(A251)-4),$A$1:$A$1009,0)):$A$1009,0)))</f>
        <v>5</v>
      </c>
      <c r="E251" s="105">
        <f ca="1">SUM(INDIRECT("E"&amp;MATCH(RIGHT(A251,LEN(A251)-4),$A$1:$A$1009,0)&amp;":E"&amp;MATCH(RIGHT(A251,LEN(A251)-4),$A$1:$A$1009,0)+MATCH("END",INDIRECT("A"&amp;MATCH(RIGHT(A251,LEN(A251)-4),$A$1:$A$1009,0)):$A$1009,0)))</f>
        <v>0</v>
      </c>
      <c r="F251" s="124" t="s">
        <v>406</v>
      </c>
    </row>
    <row r="252" spans="1:6" x14ac:dyDescent="0.3">
      <c r="A252" s="48" t="str">
        <f>"  - " &amp; A185</f>
        <v xml:space="preserve">  - Program Administration </v>
      </c>
      <c r="B252" s="105"/>
      <c r="C252" s="105"/>
      <c r="D252" s="105">
        <f ca="1">SUM(INDIRECT("D"&amp;MATCH(RIGHT(A252,LEN(A252)-4),$A$1:$A$1009,0)&amp;":D"&amp;MATCH(RIGHT(A252,LEN(A252)-4),$A$1:$A$1009,0)+MATCH("END",INDIRECT("A"&amp;MATCH(RIGHT(A252,LEN(A252)-4),$A$1:$A$1009,0)):$A$1009,0)))</f>
        <v>30</v>
      </c>
      <c r="E252" s="105">
        <f ca="1">SUM(INDIRECT("E"&amp;MATCH(RIGHT(A252,LEN(A252)-4),$A$1:$A$1009,0)&amp;":E"&amp;MATCH(RIGHT(A252,LEN(A252)-4),$A$1:$A$1009,0)+MATCH("END",INDIRECT("A"&amp;MATCH(RIGHT(A252,LEN(A252)-4),$A$1:$A$1009,0)):$A$1009,0)))</f>
        <v>0</v>
      </c>
      <c r="F252" s="124" t="s">
        <v>406</v>
      </c>
    </row>
    <row r="253" spans="1:6" x14ac:dyDescent="0.3">
      <c r="A253" s="48" t="str">
        <f>"  - " &amp; A232</f>
        <v xml:space="preserve">  - Conditional Status</v>
      </c>
      <c r="B253" s="105"/>
      <c r="C253" s="105"/>
      <c r="D253" s="105">
        <f ca="1">SUM(INDIRECT("D"&amp;MATCH(RIGHT(A253,LEN(A253)-4),$A$1:$A$1009,0)&amp;":D"&amp;MATCH(RIGHT(A253,LEN(A253)-4),$A$1:$A$1009,0)+MATCH("END",INDIRECT("A"&amp;MATCH(RIGHT(A253,LEN(A253)-4),$A$1:$A$1009,0)):$A$1009,0)))</f>
        <v>15</v>
      </c>
      <c r="E253" s="105">
        <f ca="1">SUM(INDIRECT("E"&amp;MATCH(RIGHT(A253,LEN(A253)-4),$A$1:$A$1009,0)&amp;":E"&amp;MATCH(RIGHT(A253,LEN(A253)-4),$A$1:$A$1009,0)+MATCH("END",INDIRECT("A"&amp;MATCH(RIGHT(A253,LEN(A253)-4),$A$1:$A$1009,0)):$A$1009,0)))</f>
        <v>0</v>
      </c>
      <c r="F253" s="124" t="s">
        <v>406</v>
      </c>
    </row>
    <row r="254" spans="1:6" x14ac:dyDescent="0.3">
      <c r="A254" s="130" t="s">
        <v>419</v>
      </c>
      <c r="B254" s="105"/>
      <c r="C254" s="105"/>
      <c r="D254" s="105">
        <f ca="1">SUM(D247:D253)</f>
        <v>100</v>
      </c>
      <c r="E254" s="105">
        <f ca="1">SUM(E247:E253)</f>
        <v>0</v>
      </c>
      <c r="F254" s="124" t="s">
        <v>406</v>
      </c>
    </row>
    <row r="255" spans="1:6" x14ac:dyDescent="0.3">
      <c r="A255" s="48" t="str">
        <f>"  - " &amp; A204</f>
        <v xml:space="preserve">  - Bonus Points</v>
      </c>
      <c r="B255" s="105"/>
      <c r="C255" s="105"/>
      <c r="D255" s="105">
        <f ca="1">SUM(INDIRECT("D"&amp;MATCH(RIGHT(A255,LEN(A255)-4),$A$1:$A$1009,0)&amp;":D"&amp;MATCH(RIGHT(A255,LEN(A255)-4),$A$1:$A$1009,0)+MATCH("END",INDIRECT("A"&amp;MATCH(RIGHT(A255,LEN(A255)-4),$A$1:$A$1009,0)):$A$1009,0)))</f>
        <v>10</v>
      </c>
      <c r="E255" s="105">
        <f ca="1">SUM(INDIRECT("E"&amp;MATCH(RIGHT(A255,LEN(A255)-4),$A$1:$A$1009,0)&amp;":E"&amp;MATCH(RIGHT(A255,LEN(A255)-4),$A$1:$A$1009,0)+MATCH("END",INDIRECT("A"&amp;MATCH(RIGHT(A255,LEN(A255)-4),$A$1:$A$1009,0)):$A$1009,0)))</f>
        <v>0</v>
      </c>
      <c r="F255" s="124" t="s">
        <v>406</v>
      </c>
    </row>
    <row r="256" spans="1:6" x14ac:dyDescent="0.3">
      <c r="A256" s="130" t="s">
        <v>294</v>
      </c>
      <c r="B256" s="105"/>
      <c r="C256" s="105"/>
      <c r="D256" s="105">
        <f ca="1">SUM(D254,D255)</f>
        <v>110</v>
      </c>
      <c r="E256" s="105">
        <f ca="1">SUM(E254,E255)</f>
        <v>0</v>
      </c>
      <c r="F256" s="124" t="s">
        <v>406</v>
      </c>
    </row>
  </sheetData>
  <sheetProtection algorithmName="SHA-512" hashValue="txz4afFme6Am37LLVA8JuxByOStv7WPrFZHVmF9i6qPqi3rKI3GTQ4K9sAgH7jzdQIuWrCJCklgIyHMIjq31Yw==" saltValue="0kdjoPnqmoIM4wecAj2g5w==" spinCount="100000" sheet="1" objects="1" scenarios="1"/>
  <conditionalFormatting sqref="A198:C198 E198">
    <cfRule type="expression" dxfId="19" priority="1">
      <formula>NOT($B$195)</formula>
    </cfRule>
  </conditionalFormatting>
  <dataValidations count="1">
    <dataValidation type="whole" operator="greaterThanOrEqual" allowBlank="1" showInputMessage="1" showErrorMessage="1" sqref="B9:B19 B21:B24 B26:B27 B29:B32 B34 B36:B37 B39 B41:B42 B44 B46 B48:B49 B51:B53 B55:B58 B60 B62 B79 B81 B64:B77" xr:uid="{7B078A3E-32C4-4A48-BAC6-0E07A6DB3E4E}">
      <formula1>0</formula1>
    </dataValidation>
  </dataValidations>
  <pageMargins left="0.7" right="0.7" top="0.75" bottom="0.75" header="0.3" footer="0.3"/>
  <pageSetup orientation="portrait" horizontalDpi="300" verticalDpi="300" r:id="rId1"/>
  <ignoredErrors>
    <ignoredError sqref="D254:E25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84DDBA-B76B-405A-A87A-389C4E0CEAE4}">
          <x14:formula1>
            <xm:f>Picklists!$A$2:$A$4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9686-81C9-4670-840A-7B37BAD4BCB1}">
  <sheetPr>
    <pageSetUpPr fitToPage="1"/>
  </sheetPr>
  <dimension ref="A2:E108"/>
  <sheetViews>
    <sheetView tabSelected="1" topLeftCell="A67" zoomScale="90" zoomScaleNormal="90" workbookViewId="0">
      <selection activeCell="E72" sqref="E72:E89"/>
    </sheetView>
  </sheetViews>
  <sheetFormatPr defaultColWidth="8.88671875" defaultRowHeight="14.4" x14ac:dyDescent="0.3"/>
  <cols>
    <col min="1" max="1" width="4.6640625" style="47" bestFit="1" customWidth="1"/>
    <col min="2" max="2" width="60.6640625" style="47" customWidth="1"/>
    <col min="3" max="3" width="40.6640625" style="60" customWidth="1"/>
    <col min="4" max="4" width="4.6640625" style="56" customWidth="1"/>
    <col min="5" max="5" width="60.6640625" style="47" customWidth="1"/>
    <col min="6" max="16384" width="8.88671875" style="47"/>
  </cols>
  <sheetData>
    <row r="2" spans="2:5" ht="21" x14ac:dyDescent="0.3">
      <c r="B2" s="143" t="s">
        <v>249</v>
      </c>
      <c r="C2" s="144"/>
      <c r="D2" s="49"/>
      <c r="E2" s="132" t="s">
        <v>272</v>
      </c>
    </row>
    <row r="3" spans="2:5" x14ac:dyDescent="0.3">
      <c r="B3" s="50" t="s">
        <v>155</v>
      </c>
      <c r="C3" s="51" t="str">
        <f>IF(APRData!B4 &lt;&gt; "", APRData!B4, "")</f>
        <v/>
      </c>
      <c r="D3" s="49"/>
      <c r="E3" s="73" t="s">
        <v>255</v>
      </c>
    </row>
    <row r="4" spans="2:5" x14ac:dyDescent="0.3">
      <c r="B4" s="52" t="s">
        <v>156</v>
      </c>
      <c r="C4" s="54" t="str">
        <f>IF(APRData!B5 &lt;&gt; "", APRData!B5, "")</f>
        <v/>
      </c>
      <c r="D4" s="49"/>
      <c r="E4" s="139"/>
    </row>
    <row r="5" spans="2:5" x14ac:dyDescent="0.3">
      <c r="B5" s="50" t="s">
        <v>157</v>
      </c>
      <c r="C5" s="51" t="str">
        <f>IF(APRData!B6 &lt;&gt; "", APRData!B6, "")</f>
        <v/>
      </c>
      <c r="D5" s="49"/>
      <c r="E5" s="140"/>
    </row>
    <row r="6" spans="2:5" x14ac:dyDescent="0.3">
      <c r="B6" s="141" t="s">
        <v>250</v>
      </c>
      <c r="C6" s="142"/>
      <c r="D6" s="49"/>
      <c r="E6" s="140"/>
    </row>
    <row r="7" spans="2:5" x14ac:dyDescent="0.3">
      <c r="B7" s="50" t="s">
        <v>413</v>
      </c>
      <c r="C7" s="53" t="str">
        <f ca="1">APRData!E247 &amp; " of " &amp; APRData!D247</f>
        <v>0 of 5</v>
      </c>
      <c r="D7" s="49"/>
      <c r="E7" s="140"/>
    </row>
    <row r="8" spans="2:5" x14ac:dyDescent="0.3">
      <c r="B8" s="52" t="s">
        <v>414</v>
      </c>
      <c r="C8" s="54" t="str">
        <f ca="1">APRData!E248 &amp; " of " &amp; APRData!D248</f>
        <v>0 of 5</v>
      </c>
      <c r="D8" s="49"/>
      <c r="E8" s="140"/>
    </row>
    <row r="9" spans="2:5" x14ac:dyDescent="0.3">
      <c r="B9" s="50" t="s">
        <v>415</v>
      </c>
      <c r="C9" s="53" t="str">
        <f ca="1">APRData!E249 &amp; " of " &amp; APRData!D249</f>
        <v>0 of 25</v>
      </c>
      <c r="D9" s="49"/>
      <c r="E9" s="140"/>
    </row>
    <row r="10" spans="2:5" x14ac:dyDescent="0.3">
      <c r="B10" s="52" t="s">
        <v>251</v>
      </c>
      <c r="C10" s="54" t="str">
        <f ca="1">APRData!E250 &amp; " of " &amp; APRData!D250</f>
        <v>0 of 15</v>
      </c>
      <c r="D10" s="49"/>
      <c r="E10" s="140"/>
    </row>
    <row r="11" spans="2:5" x14ac:dyDescent="0.3">
      <c r="B11" s="50" t="s">
        <v>416</v>
      </c>
      <c r="C11" s="53" t="str">
        <f ca="1">APRData!E251 &amp; " of " &amp; APRData!D251</f>
        <v>0 of 5</v>
      </c>
      <c r="D11" s="49"/>
      <c r="E11" s="140"/>
    </row>
    <row r="12" spans="2:5" x14ac:dyDescent="0.3">
      <c r="B12" s="52" t="s">
        <v>253</v>
      </c>
      <c r="C12" s="54" t="str">
        <f ca="1">APRData!E252 &amp; " of " &amp; APRData!D252</f>
        <v>0 of 30</v>
      </c>
      <c r="D12" s="49"/>
      <c r="E12" s="140"/>
    </row>
    <row r="13" spans="2:5" x14ac:dyDescent="0.3">
      <c r="B13" s="50" t="s">
        <v>417</v>
      </c>
      <c r="C13" s="53" t="str">
        <f ca="1">APRData!E253 &amp; " of " &amp; APRData!D253</f>
        <v>0 of 15</v>
      </c>
      <c r="D13" s="49"/>
      <c r="E13" s="140"/>
    </row>
    <row r="14" spans="2:5" x14ac:dyDescent="0.3">
      <c r="B14" s="52" t="s">
        <v>418</v>
      </c>
      <c r="C14" s="118" t="str">
        <f ca="1">APRData!E254 &amp; " of " &amp; APRData!D254</f>
        <v>0 of 100</v>
      </c>
      <c r="D14" s="49"/>
      <c r="E14" s="140"/>
    </row>
    <row r="15" spans="2:5" x14ac:dyDescent="0.3">
      <c r="B15" s="50" t="s">
        <v>252</v>
      </c>
      <c r="C15" s="53" t="str">
        <f ca="1">APRData!E255 &amp; " of " &amp; APRData!D255</f>
        <v>0 of 10</v>
      </c>
      <c r="D15" s="49"/>
      <c r="E15" s="140"/>
    </row>
    <row r="16" spans="2:5" x14ac:dyDescent="0.3">
      <c r="B16" s="52" t="s">
        <v>420</v>
      </c>
      <c r="C16" s="118" t="str">
        <f ca="1">APRData!E256 &amp; " of " &amp; APRData!D256</f>
        <v>0 of 110</v>
      </c>
      <c r="D16" s="49"/>
      <c r="E16" s="140"/>
    </row>
    <row r="17" spans="1:5" ht="43.2" x14ac:dyDescent="0.3">
      <c r="B17" s="50" t="s">
        <v>247</v>
      </c>
      <c r="C17" s="115" t="str">
        <f>C95</f>
        <v>Must pass HMIS Audit
Must resolve deobligation
Must perform appropriate drawdowns</v>
      </c>
      <c r="D17" s="49"/>
      <c r="E17" s="140"/>
    </row>
    <row r="18" spans="1:5" ht="23.4" x14ac:dyDescent="0.3">
      <c r="B18" s="116" t="s">
        <v>248</v>
      </c>
      <c r="C18" s="72"/>
      <c r="D18" s="49"/>
      <c r="E18" s="140"/>
    </row>
    <row r="19" spans="1:5" ht="26.4" customHeight="1" x14ac:dyDescent="0.3"/>
    <row r="20" spans="1:5" ht="21" x14ac:dyDescent="0.3">
      <c r="B20" s="143" t="s">
        <v>158</v>
      </c>
      <c r="C20" s="144"/>
      <c r="E20" s="132" t="s">
        <v>273</v>
      </c>
    </row>
    <row r="21" spans="1:5" x14ac:dyDescent="0.3">
      <c r="B21" s="50" t="s">
        <v>243</v>
      </c>
      <c r="C21" s="57">
        <f>Input!C4</f>
        <v>0</v>
      </c>
      <c r="E21" s="73" t="s">
        <v>255</v>
      </c>
    </row>
    <row r="22" spans="1:5" x14ac:dyDescent="0.3">
      <c r="B22" s="52" t="s">
        <v>244</v>
      </c>
      <c r="C22" s="58">
        <f>Input!C5</f>
        <v>0</v>
      </c>
      <c r="E22" s="140"/>
    </row>
    <row r="23" spans="1:5" x14ac:dyDescent="0.3">
      <c r="B23" s="55" t="s">
        <v>245</v>
      </c>
      <c r="C23" s="59">
        <f>Input!C6</f>
        <v>0</v>
      </c>
      <c r="E23" s="140"/>
    </row>
    <row r="24" spans="1:5" ht="32.4" customHeight="1" x14ac:dyDescent="0.3">
      <c r="E24" s="140"/>
    </row>
    <row r="25" spans="1:5" ht="21" x14ac:dyDescent="0.3">
      <c r="B25" s="143" t="s">
        <v>377</v>
      </c>
      <c r="C25" s="144"/>
      <c r="E25" s="140"/>
    </row>
    <row r="26" spans="1:5" x14ac:dyDescent="0.3">
      <c r="B26" s="145" t="s">
        <v>361</v>
      </c>
      <c r="C26" s="146"/>
      <c r="E26" s="140"/>
    </row>
    <row r="27" spans="1:5" x14ac:dyDescent="0.3">
      <c r="A27" s="89"/>
      <c r="B27" s="42" t="s">
        <v>264</v>
      </c>
      <c r="C27" s="57">
        <f>APRData!B9</f>
        <v>0</v>
      </c>
      <c r="D27" s="89"/>
      <c r="E27" s="140"/>
    </row>
    <row r="28" spans="1:5" x14ac:dyDescent="0.3">
      <c r="A28" s="89"/>
      <c r="B28" s="61" t="s">
        <v>263</v>
      </c>
      <c r="C28" s="58">
        <f>APRData!B10</f>
        <v>0</v>
      </c>
      <c r="D28" s="89"/>
      <c r="E28" s="140"/>
    </row>
    <row r="29" spans="1:5" x14ac:dyDescent="0.3">
      <c r="A29" s="89"/>
      <c r="B29" s="42" t="s">
        <v>262</v>
      </c>
      <c r="C29" s="57">
        <f>APRData!B11</f>
        <v>0</v>
      </c>
      <c r="D29" s="89"/>
      <c r="E29" s="140"/>
    </row>
    <row r="30" spans="1:5" x14ac:dyDescent="0.3">
      <c r="A30" s="89"/>
      <c r="B30" s="61" t="s">
        <v>261</v>
      </c>
      <c r="C30" s="58">
        <f>APRData!B12</f>
        <v>0</v>
      </c>
      <c r="D30" s="89"/>
      <c r="E30" s="140"/>
    </row>
    <row r="31" spans="1:5" x14ac:dyDescent="0.3">
      <c r="A31" s="89"/>
      <c r="B31" s="42" t="s">
        <v>260</v>
      </c>
      <c r="C31" s="57">
        <f>APRData!B79</f>
        <v>0</v>
      </c>
      <c r="D31" s="89"/>
      <c r="E31" s="140"/>
    </row>
    <row r="32" spans="1:5" x14ac:dyDescent="0.3">
      <c r="A32" s="89"/>
      <c r="B32" s="61" t="s">
        <v>295</v>
      </c>
      <c r="C32" s="58">
        <f>APRData!B81</f>
        <v>0</v>
      </c>
      <c r="D32" s="89"/>
      <c r="E32" s="140"/>
    </row>
    <row r="33" spans="1:5" x14ac:dyDescent="0.3">
      <c r="A33" s="89"/>
      <c r="B33" s="145" t="s">
        <v>362</v>
      </c>
      <c r="C33" s="146"/>
      <c r="D33" s="89"/>
      <c r="E33" s="140"/>
    </row>
    <row r="34" spans="1:5" x14ac:dyDescent="0.3">
      <c r="A34" s="89"/>
      <c r="B34" s="42" t="s">
        <v>259</v>
      </c>
      <c r="C34" s="57">
        <f>APRData!B13</f>
        <v>0</v>
      </c>
      <c r="D34" s="89"/>
      <c r="E34" s="140"/>
    </row>
    <row r="35" spans="1:5" x14ac:dyDescent="0.3">
      <c r="A35" s="89"/>
      <c r="B35" s="61" t="s">
        <v>258</v>
      </c>
      <c r="C35" s="58">
        <f>APRData!B14</f>
        <v>0</v>
      </c>
      <c r="D35" s="89"/>
      <c r="E35" s="140"/>
    </row>
    <row r="36" spans="1:5" x14ac:dyDescent="0.3">
      <c r="A36" s="89"/>
      <c r="B36" s="42" t="s">
        <v>319</v>
      </c>
      <c r="C36" s="57">
        <f>APRData!B15</f>
        <v>0</v>
      </c>
      <c r="D36" s="89"/>
      <c r="E36" s="140"/>
    </row>
    <row r="37" spans="1:5" x14ac:dyDescent="0.3">
      <c r="A37" s="89"/>
      <c r="B37" s="62" t="s">
        <v>257</v>
      </c>
      <c r="C37" s="63">
        <f>APRData!B16</f>
        <v>0</v>
      </c>
      <c r="D37" s="89"/>
      <c r="E37" s="140"/>
    </row>
    <row r="38" spans="1:5" ht="25.95" customHeight="1" x14ac:dyDescent="0.3"/>
    <row r="39" spans="1:5" ht="21" x14ac:dyDescent="0.3">
      <c r="B39" s="143" t="s">
        <v>205</v>
      </c>
      <c r="C39" s="144"/>
      <c r="E39" s="132" t="s">
        <v>575</v>
      </c>
    </row>
    <row r="40" spans="1:5" x14ac:dyDescent="0.3">
      <c r="B40" s="80" t="s">
        <v>352</v>
      </c>
      <c r="C40" s="81" t="str">
        <f>IF(APRData!$B$7 &lt;&gt; "PSH", "PSH Programs Only", IF(APRData!B97 = TRUE, "Yes", "No") &amp; " (" &amp; APRData!E97 &amp; " of " &amp; APRData!D97 &amp; " points)")</f>
        <v>PSH Programs Only</v>
      </c>
      <c r="E40" s="73" t="s">
        <v>255</v>
      </c>
    </row>
    <row r="41" spans="1:5" ht="14.4" customHeight="1" x14ac:dyDescent="0.3">
      <c r="B41" s="61" t="s">
        <v>256</v>
      </c>
      <c r="C41" s="58" t="str">
        <f>IF(APRData!$B$7 &lt;&gt; "TH", "TH Programs Only", APRData!B92)</f>
        <v>TH Programs Only</v>
      </c>
      <c r="E41" s="147"/>
    </row>
    <row r="42" spans="1:5" ht="14.4" customHeight="1" x14ac:dyDescent="0.3">
      <c r="B42" s="42" t="s">
        <v>356</v>
      </c>
      <c r="C42" s="57" t="str">
        <f>IF(APRData!$B$7 &lt;&gt; "TH", "TH Programs Only", IF(APRData!B98 = TRUE, "Yes", "No") &amp; " (" &amp; APRData!E98 &amp; " of " &amp; APRData!D98 &amp; " points)")</f>
        <v>TH Programs Only</v>
      </c>
      <c r="E42" s="148"/>
    </row>
    <row r="43" spans="1:5" ht="14.4" customHeight="1" x14ac:dyDescent="0.3">
      <c r="B43" s="61" t="s">
        <v>351</v>
      </c>
      <c r="C43" s="69" t="str">
        <f>IF(APRData!$B$7 &lt;&gt; "RRH", "RRH Programs Only", APRData!B93)</f>
        <v>RRH Programs Only</v>
      </c>
      <c r="E43" s="148"/>
    </row>
    <row r="44" spans="1:5" ht="14.4" customHeight="1" x14ac:dyDescent="0.3">
      <c r="B44" s="91" t="s">
        <v>353</v>
      </c>
      <c r="C44" s="93" t="str">
        <f>IF(APRData!$B$7 &lt;&gt; "RRH", "RRH Programs Only", IF(APRData!B99 = TRUE, "Yes", "No") &amp; " (" &amp; APRData!E99 &amp; " of " &amp; APRData!D99 &amp; " points)")</f>
        <v>RRH Programs Only</v>
      </c>
      <c r="E44" s="148"/>
    </row>
    <row r="45" spans="1:5" ht="14.4" customHeight="1" x14ac:dyDescent="0.3">
      <c r="B45" s="78"/>
      <c r="C45" s="79"/>
      <c r="E45" s="148"/>
    </row>
    <row r="46" spans="1:5" ht="21" x14ac:dyDescent="0.3">
      <c r="B46" s="143" t="s">
        <v>163</v>
      </c>
      <c r="C46" s="144"/>
      <c r="E46" s="148"/>
    </row>
    <row r="47" spans="1:5" ht="14.4" customHeight="1" x14ac:dyDescent="0.3">
      <c r="B47" s="42" t="str">
        <f>"Total Number of Leavers less Deceased [" &amp; APRData!B73 &amp; "]"</f>
        <v>Total Number of Leavers less Deceased []</v>
      </c>
      <c r="C47" s="57">
        <f>APRData!B114</f>
        <v>0</v>
      </c>
      <c r="E47" s="148"/>
    </row>
    <row r="48" spans="1:5" ht="14.4" customHeight="1" x14ac:dyDescent="0.3">
      <c r="B48" s="52" t="s">
        <v>277</v>
      </c>
      <c r="C48" s="65">
        <f>APRData!B119</f>
        <v>0</v>
      </c>
      <c r="E48" s="148"/>
    </row>
    <row r="49" spans="2:5" ht="14.4" customHeight="1" x14ac:dyDescent="0.3">
      <c r="B49" s="106" t="str">
        <f>"   - below " &amp; TEXT(APRData!C119, "0%")</f>
        <v xml:space="preserve">   - below 10%</v>
      </c>
      <c r="C49" s="66" t="str">
        <f>IF(APRData!B119 &lt; APRData!C119, "Yes", "No") &amp; " (" &amp; APRData!E119 &amp; " of " &amp; APRData!D119 &amp; " points)"</f>
        <v>Yes (0 of 5 points)</v>
      </c>
      <c r="E49" s="148"/>
    </row>
    <row r="50" spans="2:5" ht="14.4" customHeight="1" x14ac:dyDescent="0.3">
      <c r="E50" s="148"/>
    </row>
    <row r="51" spans="2:5" ht="21" x14ac:dyDescent="0.3">
      <c r="B51" s="143" t="s">
        <v>355</v>
      </c>
      <c r="C51" s="144"/>
      <c r="E51" s="148"/>
    </row>
    <row r="52" spans="2:5" ht="14.4" customHeight="1" x14ac:dyDescent="0.3">
      <c r="B52" s="82" t="str">
        <f>"Total Number of Leavers less Deceased and Exceptions [" &amp; SUM(APRData!B153,APRData!B155) &amp; "]"</f>
        <v>Total Number of Leavers less Deceased and Exceptions [0]</v>
      </c>
      <c r="C52" s="81">
        <f>APRData!B157</f>
        <v>0</v>
      </c>
      <c r="E52" s="148"/>
    </row>
    <row r="53" spans="2:5" ht="35.25" customHeight="1" x14ac:dyDescent="0.3">
      <c r="B53" s="135" t="str">
        <f>"Successsful exits are greater than " &amp; TEXT(APRData!C161, "0%")</f>
        <v>Successsful exits are greater than 45%</v>
      </c>
      <c r="C53" s="83" t="str">
        <f>IF(APRData!$B$7 &lt;&gt; "TH", "TH Programs Only", IF(APRData!B161 &gt;= APRData!C161, "Yes", "No") &amp; " (" &amp; APRData!E161 &amp; " of " &amp; APRData!D161 &amp; " points)")</f>
        <v>TH Programs Only</v>
      </c>
      <c r="E53" s="148"/>
    </row>
    <row r="54" spans="2:5" ht="28.8" x14ac:dyDescent="0.3">
      <c r="B54" s="134" t="str">
        <f>"Persons who remained in the program or exited to a permanent destination is greater than " &amp; TEXT(APRData!C162, "0%")</f>
        <v>Persons who remained in the program or exited to a permanent destination is greater than 95%</v>
      </c>
      <c r="C54" s="66" t="str">
        <f>IF(AND(APRData!$B$7 &lt;&gt; "RRH", APRData!$B$7 &lt;&gt; "PSH"), "PSH/RRH Programs Only", IF(APRData!B162 &gt;= APRData!C162, "Yes", "No") &amp; " (" &amp; APRData!E162 &amp; " of " &amp; APRData!D162 &amp; " points)")</f>
        <v>PSH/RRH Programs Only</v>
      </c>
      <c r="E54" s="149"/>
    </row>
    <row r="55" spans="2:5" ht="25.2" customHeight="1" x14ac:dyDescent="0.3">
      <c r="C55" s="47"/>
    </row>
    <row r="56" spans="2:5" ht="21" x14ac:dyDescent="0.3">
      <c r="B56" s="143" t="s">
        <v>165</v>
      </c>
      <c r="C56" s="144"/>
      <c r="E56" s="84" t="s">
        <v>274</v>
      </c>
    </row>
    <row r="57" spans="2:5" x14ac:dyDescent="0.3">
      <c r="B57" s="80" t="s">
        <v>258</v>
      </c>
      <c r="C57" s="81">
        <f>APRData!B14</f>
        <v>0</v>
      </c>
      <c r="E57" s="73" t="s">
        <v>255</v>
      </c>
    </row>
    <row r="58" spans="2:5" x14ac:dyDescent="0.3">
      <c r="B58" s="61" t="s">
        <v>257</v>
      </c>
      <c r="C58" s="58">
        <f>APRData!B16</f>
        <v>0</v>
      </c>
      <c r="E58" s="147"/>
    </row>
    <row r="59" spans="2:5" x14ac:dyDescent="0.3">
      <c r="B59" s="42" t="s">
        <v>428</v>
      </c>
      <c r="C59" s="57">
        <f>APRData!B42</f>
        <v>0</v>
      </c>
      <c r="E59" s="148"/>
    </row>
    <row r="60" spans="2:5" x14ac:dyDescent="0.3">
      <c r="B60" s="61" t="s">
        <v>354</v>
      </c>
      <c r="C60" s="113">
        <f>APRData!B143</f>
        <v>0</v>
      </c>
      <c r="E60" s="148"/>
    </row>
    <row r="61" spans="2:5" x14ac:dyDescent="0.3">
      <c r="B61" s="107" t="s">
        <v>386</v>
      </c>
      <c r="C61" s="69" t="str">
        <f>IF(C60 &gt;= 0.46, "Yes", "No")</f>
        <v>No</v>
      </c>
      <c r="E61" s="148"/>
    </row>
    <row r="62" spans="2:5" x14ac:dyDescent="0.3">
      <c r="B62" s="114" t="s">
        <v>387</v>
      </c>
      <c r="C62" s="58" t="str">
        <f>IF(AND(C60 &gt; 0.35, C60 &lt; 0.46), "Yes", "No")</f>
        <v>No</v>
      </c>
      <c r="E62" s="148"/>
    </row>
    <row r="63" spans="2:5" x14ac:dyDescent="0.3">
      <c r="B63" s="107" t="s">
        <v>388</v>
      </c>
      <c r="C63" s="69" t="str">
        <f>IF(AND(C60 &gt; 0.24, C60 &lt; 0.36), "Yes", "No")</f>
        <v>No</v>
      </c>
      <c r="E63" s="148"/>
    </row>
    <row r="64" spans="2:5" x14ac:dyDescent="0.3">
      <c r="B64" s="61" t="s">
        <v>385</v>
      </c>
      <c r="C64" s="58" t="str">
        <f>APRData!E143 &amp; " of " &amp; APRData!D143 &amp; " points"</f>
        <v>0 of 15 points</v>
      </c>
      <c r="E64" s="148"/>
    </row>
    <row r="65" spans="1:5" x14ac:dyDescent="0.3">
      <c r="B65" s="42" t="s">
        <v>389</v>
      </c>
      <c r="C65" s="112">
        <f>APRData!B144</f>
        <v>0</v>
      </c>
      <c r="E65" s="148"/>
    </row>
    <row r="66" spans="1:5" x14ac:dyDescent="0.3">
      <c r="A66" s="108" t="s">
        <v>421</v>
      </c>
      <c r="B66" s="114" t="str">
        <f ca="1">"   - above " &amp; TEXT(APRData!C144, "0%")</f>
        <v xml:space="preserve">   - above 85%</v>
      </c>
      <c r="C66" s="58" t="str">
        <f ca="1">IF(APRData!B144 &gt; APRData!C144, "Yes", "No") &amp; " (" &amp; APRData!E144 &amp; " of " &amp; APRData!D144 &amp; " points)"</f>
        <v>No (0 of 5 points)</v>
      </c>
      <c r="E66" s="148"/>
    </row>
    <row r="67" spans="1:5" x14ac:dyDescent="0.3">
      <c r="A67" s="109"/>
      <c r="B67" s="42" t="s">
        <v>396</v>
      </c>
      <c r="C67" s="112">
        <f>APRData!B145</f>
        <v>0</v>
      </c>
      <c r="E67" s="148"/>
    </row>
    <row r="68" spans="1:5" x14ac:dyDescent="0.3">
      <c r="A68" s="108" t="s">
        <v>421</v>
      </c>
      <c r="B68" s="110" t="str">
        <f ca="1">"   - above " &amp; TEXT(APRData!C145, "0%")</f>
        <v xml:space="preserve">   - above 90%</v>
      </c>
      <c r="C68" s="63" t="str">
        <f ca="1">IF(APRData!B145 &gt; APRData!C145, "Yes", "No") &amp; " (" &amp; APRData!E145 &amp; " of " &amp; APRData!D145 &amp; " points)"</f>
        <v>No (0 of 5 points)</v>
      </c>
      <c r="E68" s="149"/>
    </row>
    <row r="69" spans="1:5" ht="25.95" customHeight="1" x14ac:dyDescent="0.3">
      <c r="B69" s="89"/>
      <c r="C69" s="94"/>
    </row>
    <row r="70" spans="1:5" ht="21" x14ac:dyDescent="0.3">
      <c r="B70" s="143" t="s">
        <v>297</v>
      </c>
      <c r="C70" s="144"/>
      <c r="E70" s="132" t="s">
        <v>573</v>
      </c>
    </row>
    <row r="71" spans="1:5" x14ac:dyDescent="0.3">
      <c r="B71" s="61" t="s">
        <v>276</v>
      </c>
      <c r="C71" s="58">
        <f>APRData!B178</f>
        <v>0</v>
      </c>
      <c r="E71" s="73" t="s">
        <v>255</v>
      </c>
    </row>
    <row r="72" spans="1:5" x14ac:dyDescent="0.3">
      <c r="B72" s="42" t="s">
        <v>275</v>
      </c>
      <c r="C72" s="57">
        <f>APRData!B179</f>
        <v>0</v>
      </c>
      <c r="E72" s="147"/>
    </row>
    <row r="73" spans="1:5" x14ac:dyDescent="0.3">
      <c r="B73" s="61" t="s">
        <v>190</v>
      </c>
      <c r="C73" s="67">
        <f>APRData!B181</f>
        <v>0</v>
      </c>
      <c r="E73" s="148"/>
    </row>
    <row r="74" spans="1:5" x14ac:dyDescent="0.3">
      <c r="B74" s="42" t="s">
        <v>191</v>
      </c>
      <c r="C74" s="68">
        <f>APRData!B182</f>
        <v>0</v>
      </c>
      <c r="E74" s="148"/>
    </row>
    <row r="75" spans="1:5" x14ac:dyDescent="0.3">
      <c r="B75" s="110" t="str">
        <f>"   - Occupancy at or above " &amp; TEXT(APRData!C183, "0%")</f>
        <v xml:space="preserve">   - Occupancy at or above 90%</v>
      </c>
      <c r="C75" s="63" t="str">
        <f>IF(APRData!B183 &gt;= APRData!C183, "Yes", "No") &amp; " (" &amp; APRData!E183 &amp; " of " &amp; APRData!D183 &amp; " points)"</f>
        <v>No (0 of 5 points)</v>
      </c>
      <c r="E75" s="148"/>
    </row>
    <row r="76" spans="1:5" x14ac:dyDescent="0.3">
      <c r="E76" s="148"/>
    </row>
    <row r="77" spans="1:5" ht="18" customHeight="1" x14ac:dyDescent="0.3">
      <c r="B77" s="143" t="s">
        <v>265</v>
      </c>
      <c r="C77" s="144"/>
      <c r="E77" s="148"/>
    </row>
    <row r="78" spans="1:5" x14ac:dyDescent="0.3">
      <c r="B78" s="150" t="s">
        <v>402</v>
      </c>
      <c r="C78" s="151"/>
      <c r="E78" s="148"/>
    </row>
    <row r="79" spans="1:5" x14ac:dyDescent="0.3">
      <c r="B79" s="42" t="s">
        <v>192</v>
      </c>
      <c r="C79" s="68">
        <f>Input!C16</f>
        <v>0</v>
      </c>
      <c r="E79" s="148"/>
    </row>
    <row r="80" spans="1:5" x14ac:dyDescent="0.3">
      <c r="B80" s="61" t="s">
        <v>422</v>
      </c>
      <c r="C80" s="58" t="str">
        <f>IF(APRData!B195 = FALSE, "Yes", "No") &amp; " (" &amp; APRData!E197 &amp; " of " &amp; APRData!D197 &amp; " points)"</f>
        <v>No (0 of 5 points)</v>
      </c>
      <c r="E80" s="148"/>
    </row>
    <row r="81" spans="2:5" x14ac:dyDescent="0.3">
      <c r="B81" s="42" t="s">
        <v>213</v>
      </c>
      <c r="C81" s="57" t="str">
        <f>IF(APRData!B195, IF(APRData!B198, "Yes", "No"), "N/A")</f>
        <v>No</v>
      </c>
      <c r="E81" s="148"/>
    </row>
    <row r="82" spans="2:5" x14ac:dyDescent="0.3">
      <c r="B82" s="61" t="s">
        <v>214</v>
      </c>
      <c r="C82" s="58" t="str">
        <f>IF(APRData!B195, IF(APRData!B198, "Yes", "No"), "N/A") &amp; IF(APRData!B195, " (" &amp; APRData!E198 &amp; " of " &amp; APRData!D198 &amp; " points)", "N/A")</f>
        <v>No (0 of 5 points)</v>
      </c>
      <c r="E82" s="148"/>
    </row>
    <row r="83" spans="2:5" x14ac:dyDescent="0.3">
      <c r="B83" s="100" t="s">
        <v>423</v>
      </c>
      <c r="C83" s="69" t="str">
        <f>IF(APRData!B199 = TRUE, "Yes", "No") &amp; " (" &amp;APRData!E199 &amp; " of " &amp; APRData!D199 &amp; " points)"</f>
        <v>No (0 of 5 points)</v>
      </c>
      <c r="E83" s="148"/>
    </row>
    <row r="84" spans="2:5" ht="15.6" x14ac:dyDescent="0.3">
      <c r="B84" s="152" t="s">
        <v>348</v>
      </c>
      <c r="C84" s="153"/>
      <c r="E84" s="148"/>
    </row>
    <row r="85" spans="2:5" x14ac:dyDescent="0.3">
      <c r="B85" s="100" t="s">
        <v>349</v>
      </c>
      <c r="C85" s="69" t="str">
        <f>IF(APRData!B200 = TRUE, "Yes", "No") &amp; " (" &amp; APRData!E200 &amp; " of " &amp; APRData!D200 &amp; " points)"</f>
        <v>No (0 of 5 points)</v>
      </c>
      <c r="E85" s="148"/>
    </row>
    <row r="86" spans="2:5" x14ac:dyDescent="0.3">
      <c r="B86" s="150" t="s">
        <v>193</v>
      </c>
      <c r="C86" s="151"/>
      <c r="E86" s="148"/>
    </row>
    <row r="87" spans="2:5" x14ac:dyDescent="0.3">
      <c r="B87" s="61" t="s">
        <v>424</v>
      </c>
      <c r="C87" s="58" t="str">
        <f>IF(APRData!B201 = TRUE, "Yes", "No") &amp; " (" &amp; APRData!E201 &amp; " of " &amp; APRData!D201 &amp; " points)"</f>
        <v>No (0 of 5 points)</v>
      </c>
      <c r="E87" s="148"/>
    </row>
    <row r="88" spans="2:5" x14ac:dyDescent="0.3">
      <c r="B88" s="150" t="s">
        <v>194</v>
      </c>
      <c r="C88" s="151"/>
      <c r="E88" s="148"/>
    </row>
    <row r="89" spans="2:5" x14ac:dyDescent="0.3">
      <c r="B89" s="62" t="s">
        <v>425</v>
      </c>
      <c r="C89" s="63" t="str">
        <f>IF(APRData!B202 = TRUE, "Yes", "No") &amp; " (" &amp; APRData!E202 &amp; " of " &amp; APRData!D202 &amp; " points)"</f>
        <v>No (0 of 5 points)</v>
      </c>
      <c r="E89" s="149"/>
    </row>
    <row r="91" spans="2:5" ht="21" customHeight="1" x14ac:dyDescent="0.3">
      <c r="B91" s="143" t="s">
        <v>206</v>
      </c>
      <c r="C91" s="144"/>
      <c r="E91" s="133" t="s">
        <v>574</v>
      </c>
    </row>
    <row r="92" spans="2:5" x14ac:dyDescent="0.3">
      <c r="B92" s="50" t="s">
        <v>266</v>
      </c>
      <c r="C92" s="69" t="str">
        <f>IF(Input!C36 = "", "Missing Information", Input!C36) &amp; IF(Input!C36 = "No", " (" &amp; APRData!E244 &amp; " of " &amp; APRData!D244 &amp; ")", "")</f>
        <v>Missing Information</v>
      </c>
      <c r="E92" s="73" t="s">
        <v>255</v>
      </c>
    </row>
    <row r="93" spans="2:5" x14ac:dyDescent="0.3">
      <c r="B93" s="52" t="s">
        <v>296</v>
      </c>
      <c r="C93" s="58" t="str">
        <f>IF(C92 = "Yes", IF(Input!C37 = "", "Missing Information", Input!C37 &amp; " (" &amp; APRData!E244 &amp; " of " &amp; APRData!D244 &amp; " points)"), "n/a")</f>
        <v>n/a</v>
      </c>
      <c r="E93" s="147"/>
    </row>
    <row r="94" spans="2:5" x14ac:dyDescent="0.3">
      <c r="B94" s="50" t="s">
        <v>269</v>
      </c>
      <c r="C94" s="57" t="str">
        <f>IF(APRData!B243 = FALSE, "Yes", "No") &amp; " (" &amp; APRData!E243 &amp; " of " &amp; APRData!D243 &amp; " points)"</f>
        <v>Yes (0 of 5 points)</v>
      </c>
      <c r="E94" s="148"/>
    </row>
    <row r="95" spans="2:5" ht="43.2" customHeight="1" x14ac:dyDescent="0.3">
      <c r="B95" s="70" t="s">
        <v>270</v>
      </c>
      <c r="C95" s="71" t="str">
        <f>IF(NOT(APRData!B243), IF(APRData!B239, "Must pass HMIS Audit", "") &amp; "
" &amp; IF(APRData!B240, "Must resolve deobligation", "") &amp; "
" &amp; IF(APRData!B241, "Must perform appropriate drawdowns", ""), "None")</f>
        <v>Must pass HMIS Audit
Must resolve deobligation
Must perform appropriate drawdowns</v>
      </c>
      <c r="E95" s="148"/>
    </row>
    <row r="96" spans="2:5" x14ac:dyDescent="0.3">
      <c r="E96" s="148"/>
    </row>
    <row r="97" spans="2:5" ht="19.95" customHeight="1" x14ac:dyDescent="0.3">
      <c r="B97" s="143" t="s">
        <v>357</v>
      </c>
      <c r="C97" s="144"/>
      <c r="E97" s="148"/>
    </row>
    <row r="98" spans="2:5" x14ac:dyDescent="0.3">
      <c r="B98" s="42" t="s">
        <v>264</v>
      </c>
      <c r="C98" s="57">
        <f>APRData!B9</f>
        <v>0</v>
      </c>
      <c r="E98" s="148"/>
    </row>
    <row r="99" spans="2:5" x14ac:dyDescent="0.3">
      <c r="B99" s="61" t="s">
        <v>263</v>
      </c>
      <c r="C99" s="58">
        <f>APRData!B10</f>
        <v>0</v>
      </c>
      <c r="E99" s="148"/>
    </row>
    <row r="100" spans="2:5" x14ac:dyDescent="0.3">
      <c r="B100" s="42" t="s">
        <v>408</v>
      </c>
      <c r="C100" s="77">
        <f>APRData!B220</f>
        <v>0</v>
      </c>
      <c r="E100" s="148"/>
    </row>
    <row r="101" spans="2:5" x14ac:dyDescent="0.3">
      <c r="B101" s="61" t="s">
        <v>278</v>
      </c>
      <c r="C101" s="76">
        <f>APRData!B221</f>
        <v>0</v>
      </c>
      <c r="E101" s="148"/>
    </row>
    <row r="102" spans="2:5" x14ac:dyDescent="0.3">
      <c r="B102" s="42" t="s">
        <v>279</v>
      </c>
      <c r="C102" s="77">
        <f>APRData!B222</f>
        <v>0</v>
      </c>
      <c r="E102" s="148"/>
    </row>
    <row r="103" spans="2:5" x14ac:dyDescent="0.3">
      <c r="B103" s="61" t="s">
        <v>280</v>
      </c>
      <c r="C103" s="76">
        <f>APRData!B223</f>
        <v>0</v>
      </c>
      <c r="E103" s="148"/>
    </row>
    <row r="104" spans="2:5" x14ac:dyDescent="0.3">
      <c r="B104" s="42" t="s">
        <v>281</v>
      </c>
      <c r="C104" s="77">
        <f>APRData!B224</f>
        <v>0</v>
      </c>
      <c r="E104" s="148"/>
    </row>
    <row r="105" spans="2:5" x14ac:dyDescent="0.3">
      <c r="B105" s="61" t="s">
        <v>282</v>
      </c>
      <c r="C105" s="76">
        <f>APRData!B225</f>
        <v>0</v>
      </c>
      <c r="E105" s="148"/>
    </row>
    <row r="106" spans="2:5" x14ac:dyDescent="0.3">
      <c r="B106" s="42" t="s">
        <v>283</v>
      </c>
      <c r="C106" s="77">
        <f>APRData!B226</f>
        <v>0</v>
      </c>
      <c r="E106" s="148"/>
    </row>
    <row r="107" spans="2:5" x14ac:dyDescent="0.3">
      <c r="B107" s="61" t="s">
        <v>284</v>
      </c>
      <c r="C107" s="76">
        <f>APRData!B227</f>
        <v>0</v>
      </c>
      <c r="E107" s="148"/>
    </row>
    <row r="108" spans="2:5" x14ac:dyDescent="0.3">
      <c r="B108" s="64" t="s">
        <v>314</v>
      </c>
      <c r="C108" s="59" t="str">
        <f>APRData!B228 &amp; " (" &amp; APRData!E230 &amp; " of " &amp; APRData!D230 &amp; " points)"</f>
        <v>0 (0 of 10 points)</v>
      </c>
      <c r="E108" s="149"/>
    </row>
  </sheetData>
  <sheetProtection algorithmName="SHA-512" hashValue="rKSJywlfxahF8fdxBl3f6wXGbCJSczbqr8u7UyxAUy1pZ8Jw1biFSq1RCc3zdEiN3BDwSdXKt8MYigklJaLJKQ==" saltValue="+BFLB2NMx9zjbTq1XuJ72Q==" spinCount="100000" sheet="1" selectLockedCells="1"/>
  <protectedRanges>
    <protectedRange sqref="E4 E22 E41 E53 E58 E72 E79 E93 E99" name="Range1"/>
  </protectedRanges>
  <mergeCells count="24">
    <mergeCell ref="E41:E54"/>
    <mergeCell ref="B91:C91"/>
    <mergeCell ref="B97:C97"/>
    <mergeCell ref="E72:E89"/>
    <mergeCell ref="E93:E108"/>
    <mergeCell ref="E58:E68"/>
    <mergeCell ref="B70:C70"/>
    <mergeCell ref="B77:C77"/>
    <mergeCell ref="B78:C78"/>
    <mergeCell ref="B84:C84"/>
    <mergeCell ref="B86:C86"/>
    <mergeCell ref="B88:C88"/>
    <mergeCell ref="B39:C39"/>
    <mergeCell ref="B46:C46"/>
    <mergeCell ref="B51:C51"/>
    <mergeCell ref="B56:C56"/>
    <mergeCell ref="B2:C2"/>
    <mergeCell ref="E4:E18"/>
    <mergeCell ref="B6:C6"/>
    <mergeCell ref="B20:C20"/>
    <mergeCell ref="E22:E37"/>
    <mergeCell ref="B25:C25"/>
    <mergeCell ref="B26:C26"/>
    <mergeCell ref="B33:C33"/>
  </mergeCells>
  <conditionalFormatting sqref="C21:C24 C47 C79:C83 C92:C95 C27:C32 C87 C76 C40:C44 C98:C108 C85 C34:C38 C57:C59 C49:C54 C89:C90 C71:C73 C7:C8 C11:C12 C18:C19 C15 C61 C63 C3:C5">
    <cfRule type="containsText" dxfId="18" priority="18" operator="containsText" text="Only">
      <formula>NOT(ISERROR(SEARCH("Only",C3)))</formula>
    </cfRule>
  </conditionalFormatting>
  <conditionalFormatting sqref="C48">
    <cfRule type="containsText" dxfId="17" priority="17" operator="containsText" text="Only">
      <formula>NOT(ISERROR(SEARCH("Only",C48)))</formula>
    </cfRule>
  </conditionalFormatting>
  <conditionalFormatting sqref="C75">
    <cfRule type="containsText" dxfId="16" priority="15" operator="containsText" text="Only">
      <formula>NOT(ISERROR(SEARCH("Only",C75)))</formula>
    </cfRule>
  </conditionalFormatting>
  <conditionalFormatting sqref="C74">
    <cfRule type="containsText" dxfId="15" priority="16" operator="containsText" text="Only">
      <formula>NOT(ISERROR(SEARCH("Only",C74)))</formula>
    </cfRule>
  </conditionalFormatting>
  <conditionalFormatting sqref="C18">
    <cfRule type="containsBlanks" dxfId="14" priority="19">
      <formula>LEN(TRIM(C18))=0</formula>
    </cfRule>
  </conditionalFormatting>
  <conditionalFormatting sqref="C69">
    <cfRule type="containsText" dxfId="13" priority="14" operator="containsText" text="Only">
      <formula>NOT(ISERROR(SEARCH("Only",C69)))</formula>
    </cfRule>
  </conditionalFormatting>
  <conditionalFormatting sqref="C9">
    <cfRule type="containsText" dxfId="12" priority="13" operator="containsText" text="Only">
      <formula>NOT(ISERROR(SEARCH("Only",C9)))</formula>
    </cfRule>
  </conditionalFormatting>
  <conditionalFormatting sqref="C10">
    <cfRule type="containsText" dxfId="11" priority="12" operator="containsText" text="Only">
      <formula>NOT(ISERROR(SEARCH("Only",C10)))</formula>
    </cfRule>
  </conditionalFormatting>
  <conditionalFormatting sqref="C13">
    <cfRule type="containsText" dxfId="10" priority="11" operator="containsText" text="Only">
      <formula>NOT(ISERROR(SEARCH("Only",C13)))</formula>
    </cfRule>
  </conditionalFormatting>
  <conditionalFormatting sqref="C60">
    <cfRule type="containsText" dxfId="9" priority="10" operator="containsText" text="Only">
      <formula>NOT(ISERROR(SEARCH("Only",C60)))</formula>
    </cfRule>
  </conditionalFormatting>
  <conditionalFormatting sqref="C62">
    <cfRule type="containsText" dxfId="8" priority="9" operator="containsText" text="Only">
      <formula>NOT(ISERROR(SEARCH("Only",C62)))</formula>
    </cfRule>
  </conditionalFormatting>
  <conditionalFormatting sqref="C64">
    <cfRule type="containsText" dxfId="7" priority="8" operator="containsText" text="Only">
      <formula>NOT(ISERROR(SEARCH("Only",C64)))</formula>
    </cfRule>
  </conditionalFormatting>
  <conditionalFormatting sqref="C66">
    <cfRule type="containsText" dxfId="6" priority="7" operator="containsText" text="Only">
      <formula>NOT(ISERROR(SEARCH("Only",C66)))</formula>
    </cfRule>
  </conditionalFormatting>
  <conditionalFormatting sqref="C68">
    <cfRule type="containsText" dxfId="5" priority="6" operator="containsText" text="Only">
      <formula>NOT(ISERROR(SEARCH("Only",C68)))</formula>
    </cfRule>
  </conditionalFormatting>
  <conditionalFormatting sqref="C65">
    <cfRule type="containsText" dxfId="4" priority="5" operator="containsText" text="Only">
      <formula>NOT(ISERROR(SEARCH("Only",C65)))</formula>
    </cfRule>
  </conditionalFormatting>
  <conditionalFormatting sqref="C67">
    <cfRule type="containsText" dxfId="3" priority="4" operator="containsText" text="Only">
      <formula>NOT(ISERROR(SEARCH("Only",C67)))</formula>
    </cfRule>
  </conditionalFormatting>
  <conditionalFormatting sqref="C14">
    <cfRule type="containsText" dxfId="2" priority="3" operator="containsText" text="Only">
      <formula>NOT(ISERROR(SEARCH("Only",C14)))</formula>
    </cfRule>
  </conditionalFormatting>
  <conditionalFormatting sqref="C17">
    <cfRule type="containsText" dxfId="1" priority="2" operator="containsText" text="Only">
      <formula>NOT(ISERROR(SEARCH("Only",C17)))</formula>
    </cfRule>
  </conditionalFormatting>
  <conditionalFormatting sqref="C16">
    <cfRule type="containsText" dxfId="0" priority="1" operator="containsText" text="Only">
      <formula>NOT(ISERROR(SEARCH("Only",C16)))</formula>
    </cfRule>
  </conditionalFormatting>
  <pageMargins left="0.7" right="0.7" top="0.75" bottom="0.75" header="0.3" footer="0.3"/>
  <pageSetup scale="53" fitToHeight="0" orientation="portrait" r:id="rId1"/>
  <ignoredErrors>
    <ignoredError sqref="C1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41D4-E527-407F-BBE9-24C2F6C4B015}">
  <dimension ref="A1:B4"/>
  <sheetViews>
    <sheetView workbookViewId="0">
      <selection activeCell="F28" sqref="F28"/>
    </sheetView>
  </sheetViews>
  <sheetFormatPr defaultRowHeight="14.4" x14ac:dyDescent="0.3"/>
  <cols>
    <col min="1" max="1" width="13.44140625" customWidth="1"/>
    <col min="2" max="2" width="22.6640625" customWidth="1"/>
  </cols>
  <sheetData>
    <row r="1" spans="1:2" x14ac:dyDescent="0.3">
      <c r="A1" t="s">
        <v>368</v>
      </c>
      <c r="B1" t="s">
        <v>369</v>
      </c>
    </row>
    <row r="2" spans="1:2" x14ac:dyDescent="0.3">
      <c r="A2" t="s">
        <v>365</v>
      </c>
      <c r="B2" t="s">
        <v>358</v>
      </c>
    </row>
    <row r="3" spans="1:2" x14ac:dyDescent="0.3">
      <c r="A3" t="s">
        <v>366</v>
      </c>
      <c r="B3" t="s">
        <v>370</v>
      </c>
    </row>
    <row r="4" spans="1:2" x14ac:dyDescent="0.3">
      <c r="A4" t="s">
        <v>367</v>
      </c>
      <c r="B4" t="s">
        <v>371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FDFA-C750-495E-BECD-F4358BBBDD7C}">
  <dimension ref="A1:A8"/>
  <sheetViews>
    <sheetView workbookViewId="0">
      <selection activeCell="B5" sqref="B5"/>
    </sheetView>
  </sheetViews>
  <sheetFormatPr defaultRowHeight="14.4" x14ac:dyDescent="0.3"/>
  <cols>
    <col min="1" max="1" width="73.44140625" bestFit="1" customWidth="1"/>
    <col min="2" max="2" width="41.33203125" bestFit="1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576D-5C0F-48FF-AEE7-49C7B4415EB7}">
  <dimension ref="A1:A17"/>
  <sheetViews>
    <sheetView workbookViewId="0">
      <selection activeCell="B13" sqref="B13"/>
    </sheetView>
  </sheetViews>
  <sheetFormatPr defaultRowHeight="14.4" x14ac:dyDescent="0.3"/>
  <cols>
    <col min="1" max="1" width="66.6640625" bestFit="1" customWidth="1"/>
    <col min="2" max="2" width="3" bestFit="1" customWidth="1"/>
  </cols>
  <sheetData>
    <row r="1" spans="1:1" x14ac:dyDescent="0.3">
      <c r="A1" t="s">
        <v>8</v>
      </c>
    </row>
    <row r="2" spans="1:1" x14ac:dyDescent="0.3">
      <c r="A2" t="s">
        <v>9</v>
      </c>
    </row>
    <row r="3" spans="1:1" x14ac:dyDescent="0.3">
      <c r="A3" t="s">
        <v>10</v>
      </c>
    </row>
    <row r="4" spans="1:1" x14ac:dyDescent="0.3">
      <c r="A4" t="s">
        <v>11</v>
      </c>
    </row>
    <row r="5" spans="1:1" x14ac:dyDescent="0.3">
      <c r="A5" t="s">
        <v>12</v>
      </c>
    </row>
    <row r="6" spans="1:1" x14ac:dyDescent="0.3">
      <c r="A6" t="s">
        <v>13</v>
      </c>
    </row>
    <row r="7" spans="1:1" x14ac:dyDescent="0.3">
      <c r="A7" t="s">
        <v>14</v>
      </c>
    </row>
    <row r="8" spans="1:1" x14ac:dyDescent="0.3">
      <c r="A8" t="s">
        <v>15</v>
      </c>
    </row>
    <row r="9" spans="1:1" x14ac:dyDescent="0.3">
      <c r="A9" t="s">
        <v>16</v>
      </c>
    </row>
    <row r="10" spans="1:1" x14ac:dyDescent="0.3">
      <c r="A10" t="s">
        <v>17</v>
      </c>
    </row>
    <row r="11" spans="1:1" x14ac:dyDescent="0.3">
      <c r="A11" t="s">
        <v>18</v>
      </c>
    </row>
    <row r="12" spans="1:1" x14ac:dyDescent="0.3">
      <c r="A12" t="s">
        <v>19</v>
      </c>
    </row>
    <row r="13" spans="1:1" x14ac:dyDescent="0.3">
      <c r="A13" t="s">
        <v>20</v>
      </c>
    </row>
    <row r="14" spans="1:1" x14ac:dyDescent="0.3">
      <c r="A14" t="s">
        <v>21</v>
      </c>
    </row>
    <row r="15" spans="1:1" x14ac:dyDescent="0.3">
      <c r="A15" t="s">
        <v>22</v>
      </c>
    </row>
    <row r="16" spans="1:1" x14ac:dyDescent="0.3">
      <c r="A16" t="s">
        <v>23</v>
      </c>
    </row>
    <row r="17" spans="1:1" x14ac:dyDescent="0.3">
      <c r="A17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82443-B8B4-40CF-948D-0E91E906C9A6}">
  <dimension ref="A1:F5"/>
  <sheetViews>
    <sheetView workbookViewId="0"/>
  </sheetViews>
  <sheetFormatPr defaultRowHeight="14.4" x14ac:dyDescent="0.3"/>
  <cols>
    <col min="1" max="1" width="9.88671875" bestFit="1" customWidth="1"/>
    <col min="2" max="2" width="8" bestFit="1" customWidth="1"/>
    <col min="3" max="3" width="19.109375" bestFit="1" customWidth="1"/>
    <col min="4" max="4" width="26.33203125" bestFit="1" customWidth="1"/>
    <col min="5" max="5" width="20.6640625" bestFit="1" customWidth="1"/>
    <col min="6" max="6" width="26.88671875" bestFit="1" customWidth="1"/>
  </cols>
  <sheetData>
    <row r="1" spans="1:6" x14ac:dyDescent="0.3">
      <c r="B1" t="s">
        <v>25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3">
      <c r="A2" t="s">
        <v>30</v>
      </c>
    </row>
    <row r="3" spans="1:6" x14ac:dyDescent="0.3">
      <c r="A3" t="s">
        <v>31</v>
      </c>
    </row>
    <row r="4" spans="1:6" x14ac:dyDescent="0.3">
      <c r="A4" t="s">
        <v>32</v>
      </c>
    </row>
    <row r="5" spans="1:6" x14ac:dyDescent="0.3">
      <c r="A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Thresholds</vt:lpstr>
      <vt:lpstr>Instructions</vt:lpstr>
      <vt:lpstr>Input</vt:lpstr>
      <vt:lpstr>APRData</vt:lpstr>
      <vt:lpstr>Review</vt:lpstr>
      <vt:lpstr>Picklists</vt:lpstr>
      <vt:lpstr>Q4a</vt:lpstr>
      <vt:lpstr>Q5a</vt:lpstr>
      <vt:lpstr>Q7b</vt:lpstr>
      <vt:lpstr>Q8a</vt:lpstr>
      <vt:lpstr>Q8b</vt:lpstr>
      <vt:lpstr>Q13a1</vt:lpstr>
      <vt:lpstr>Q13a2</vt:lpstr>
      <vt:lpstr>Q14b</vt:lpstr>
      <vt:lpstr>Q18</vt:lpstr>
      <vt:lpstr>Q19a3</vt:lpstr>
      <vt:lpstr>Q20b</vt:lpstr>
      <vt:lpstr>Q22a1</vt:lpstr>
      <vt:lpstr>Q22b</vt:lpstr>
      <vt:lpstr>Q23a</vt:lpstr>
      <vt:lpstr>Q23b</vt:lpstr>
      <vt:lpstr>Q25a</vt:lpstr>
      <vt:lpstr>Q26b</vt:lpstr>
      <vt:lpstr>Q27a</vt:lpstr>
      <vt:lpstr>Q27b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Meade</dc:creator>
  <cp:lastModifiedBy>Amanda Brandenburg</cp:lastModifiedBy>
  <cp:lastPrinted>2020-05-13T16:28:35Z</cp:lastPrinted>
  <dcterms:created xsi:type="dcterms:W3CDTF">2019-04-30T14:33:34Z</dcterms:created>
  <dcterms:modified xsi:type="dcterms:W3CDTF">2020-09-15T20:33:35Z</dcterms:modified>
</cp:coreProperties>
</file>